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se-my.sharepoint.com/personal/wimf00_vse_cz/Documents/BP/"/>
    </mc:Choice>
  </mc:AlternateContent>
  <xr:revisionPtr revIDLastSave="735" documentId="13_ncr:1_{BB0D64D6-C9B6-4823-9A2D-FA8C37DC80DD}" xr6:coauthVersionLast="45" xr6:coauthVersionMax="45" xr10:uidLastSave="{8E60EF66-CB8A-4B4F-8AD4-5A1ACBA272E8}"/>
  <bookViews>
    <workbookView xWindow="-120" yWindow="-120" windowWidth="29040" windowHeight="16440" firstSheet="1" activeTab="10" xr2:uid="{00000000-000D-0000-FFFF-FFFF00000000}"/>
  </bookViews>
  <sheets>
    <sheet name="Příjmy a výdaje 2018" sheetId="14" r:id="rId1"/>
    <sheet name="Příjmy a výdaje 2019" sheetId="15" r:id="rId2"/>
    <sheet name="I" sheetId="2" r:id="rId3"/>
    <sheet name="II" sheetId="5" r:id="rId4"/>
    <sheet name="III" sheetId="6" r:id="rId5"/>
    <sheet name="IV" sheetId="9" r:id="rId6"/>
    <sheet name="Celkem" sheetId="7" r:id="rId7"/>
    <sheet name="2020-2023" sheetId="10" r:id="rId8"/>
    <sheet name="2024-2028" sheetId="12" r:id="rId9"/>
    <sheet name="2029" sheetId="16" r:id="rId10"/>
    <sheet name="Spoření propočty" sheetId="13" r:id="rId11"/>
    <sheet name="Srovnání scénářů" sheetId="18" r:id="rId12"/>
    <sheet name="Příspěvky" sheetId="17" r:id="rId13"/>
    <sheet name="Scénář 36 měsíců" sheetId="20" r:id="rId14"/>
    <sheet name="Scénář 24 měsíců " sheetId="22" r:id="rId15"/>
    <sheet name="Finanční analýza" sheetId="1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8" l="1"/>
  <c r="E7" i="18"/>
  <c r="F7" i="18"/>
  <c r="G7" i="18"/>
  <c r="M7" i="18"/>
  <c r="M8" i="18"/>
  <c r="M9" i="18"/>
  <c r="F3" i="10" l="1"/>
  <c r="F4" i="10"/>
  <c r="F5" i="10"/>
  <c r="F6" i="10"/>
  <c r="F8" i="10"/>
  <c r="F9" i="10"/>
  <c r="F10" i="10"/>
  <c r="F11" i="10"/>
  <c r="F12" i="10"/>
  <c r="F13" i="10"/>
  <c r="F14" i="10"/>
  <c r="F17" i="10"/>
  <c r="F18" i="10"/>
  <c r="F19" i="10"/>
  <c r="F20" i="10"/>
  <c r="F21" i="10"/>
  <c r="F22" i="10"/>
  <c r="F23" i="10"/>
  <c r="F24" i="10"/>
  <c r="F25" i="10"/>
  <c r="F27" i="10"/>
  <c r="F28" i="10"/>
  <c r="F7" i="19" l="1"/>
  <c r="B52" i="16" l="1"/>
  <c r="B33" i="16"/>
  <c r="B42" i="16" l="1"/>
  <c r="B53" i="16" s="1"/>
  <c r="B57" i="16" s="1"/>
  <c r="C2" i="18" l="1"/>
  <c r="D2" i="18" s="1"/>
  <c r="E2" i="18" s="1"/>
  <c r="F2" i="18" s="1"/>
  <c r="G2" i="18" s="1"/>
  <c r="H2" i="18" s="1"/>
  <c r="I2" i="18" s="1"/>
  <c r="J2" i="18" s="1"/>
  <c r="K2" i="18" s="1"/>
  <c r="L2" i="18" s="1"/>
  <c r="M55" i="22"/>
  <c r="M33" i="22"/>
  <c r="L35" i="22"/>
  <c r="K35" i="22"/>
  <c r="K32" i="22" s="1"/>
  <c r="K45" i="22" s="1"/>
  <c r="J35" i="22"/>
  <c r="J32" i="22" s="1"/>
  <c r="T58" i="22"/>
  <c r="S57" i="22"/>
  <c r="R57" i="22"/>
  <c r="Q57" i="22"/>
  <c r="P57" i="22"/>
  <c r="O57" i="22"/>
  <c r="K57" i="22"/>
  <c r="T57" i="22" s="1"/>
  <c r="S55" i="22"/>
  <c r="S46" i="22" s="1"/>
  <c r="R55" i="22"/>
  <c r="Q55" i="22"/>
  <c r="O55" i="22"/>
  <c r="O46" i="22" s="1"/>
  <c r="N55" i="22"/>
  <c r="F5" i="22" s="1"/>
  <c r="T55" i="22"/>
  <c r="T54" i="22"/>
  <c r="T53" i="22"/>
  <c r="T52" i="22"/>
  <c r="N51" i="22"/>
  <c r="M51" i="22"/>
  <c r="L51" i="22"/>
  <c r="T51" i="22" s="1"/>
  <c r="K51" i="22"/>
  <c r="N50" i="22"/>
  <c r="M50" i="22"/>
  <c r="L50" i="22"/>
  <c r="K50" i="22"/>
  <c r="K46" i="22" s="1"/>
  <c r="T46" i="22" s="1"/>
  <c r="T49" i="22"/>
  <c r="T48" i="22"/>
  <c r="T47" i="22"/>
  <c r="R46" i="22"/>
  <c r="Q46" i="22"/>
  <c r="P46" i="22"/>
  <c r="N46" i="22"/>
  <c r="M46" i="22"/>
  <c r="L46" i="22"/>
  <c r="J46" i="22"/>
  <c r="R45" i="22"/>
  <c r="R56" i="22" s="1"/>
  <c r="R59" i="22" s="1"/>
  <c r="T44" i="22"/>
  <c r="T43" i="22"/>
  <c r="T42" i="22"/>
  <c r="T41" i="22"/>
  <c r="T40" i="22"/>
  <c r="T39" i="22"/>
  <c r="T38" i="22"/>
  <c r="S37" i="22"/>
  <c r="R37" i="22"/>
  <c r="Q37" i="22"/>
  <c r="Q45" i="22" s="1"/>
  <c r="Q56" i="22" s="1"/>
  <c r="Q59" i="22" s="1"/>
  <c r="P37" i="22"/>
  <c r="O37" i="22"/>
  <c r="N37" i="22"/>
  <c r="M37" i="22"/>
  <c r="L37" i="22"/>
  <c r="K37" i="22"/>
  <c r="T37" i="22" s="1"/>
  <c r="T36" i="22"/>
  <c r="L32" i="22"/>
  <c r="L45" i="22" s="1"/>
  <c r="L56" i="22" s="1"/>
  <c r="L59" i="22" s="1"/>
  <c r="M34" i="22"/>
  <c r="L34" i="22"/>
  <c r="K34" i="22"/>
  <c r="T34" i="22" s="1"/>
  <c r="S33" i="22"/>
  <c r="S32" i="22" s="1"/>
  <c r="S45" i="22" s="1"/>
  <c r="S56" i="22" s="1"/>
  <c r="S59" i="22" s="1"/>
  <c r="R33" i="22"/>
  <c r="Q33" i="22"/>
  <c r="P33" i="22"/>
  <c r="O33" i="22"/>
  <c r="N33" i="22"/>
  <c r="N32" i="22" s="1"/>
  <c r="N45" i="22" s="1"/>
  <c r="N56" i="22" s="1"/>
  <c r="N59" i="22" s="1"/>
  <c r="E3" i="22"/>
  <c r="R32" i="22"/>
  <c r="Q32" i="22"/>
  <c r="P32" i="22"/>
  <c r="P45" i="22" s="1"/>
  <c r="P56" i="22" s="1"/>
  <c r="P59" i="22" s="1"/>
  <c r="O32" i="22"/>
  <c r="O45" i="22" s="1"/>
  <c r="T28" i="22"/>
  <c r="T27" i="22"/>
  <c r="S27" i="22"/>
  <c r="R27" i="22"/>
  <c r="Q27" i="22"/>
  <c r="P27" i="22"/>
  <c r="O27" i="22"/>
  <c r="K27" i="22"/>
  <c r="T25" i="22"/>
  <c r="S25" i="22"/>
  <c r="R25" i="22"/>
  <c r="Q25" i="22"/>
  <c r="Q16" i="22" s="1"/>
  <c r="O25" i="22"/>
  <c r="O16" i="22" s="1"/>
  <c r="N25" i="22"/>
  <c r="N16" i="22" s="1"/>
  <c r="T24" i="22"/>
  <c r="T23" i="22"/>
  <c r="T22" i="22"/>
  <c r="N21" i="22"/>
  <c r="M21" i="22"/>
  <c r="L21" i="22"/>
  <c r="T21" i="22" s="1"/>
  <c r="K21" i="22"/>
  <c r="N20" i="22"/>
  <c r="M20" i="22"/>
  <c r="L20" i="22"/>
  <c r="K20" i="22"/>
  <c r="K16" i="22" s="1"/>
  <c r="T19" i="22"/>
  <c r="T18" i="22"/>
  <c r="T17" i="22"/>
  <c r="S16" i="22"/>
  <c r="R16" i="22"/>
  <c r="P16" i="22"/>
  <c r="M16" i="22"/>
  <c r="L16" i="22"/>
  <c r="J16" i="22"/>
  <c r="T14" i="22"/>
  <c r="T13" i="22"/>
  <c r="T12" i="22"/>
  <c r="T11" i="22"/>
  <c r="T10" i="22"/>
  <c r="T9" i="22"/>
  <c r="T8" i="22"/>
  <c r="S7" i="22"/>
  <c r="R7" i="22"/>
  <c r="Q7" i="22"/>
  <c r="P7" i="22"/>
  <c r="O7" i="22"/>
  <c r="N7" i="22"/>
  <c r="M7" i="22"/>
  <c r="L7" i="22"/>
  <c r="K7" i="22"/>
  <c r="T7" i="22" s="1"/>
  <c r="T6" i="22"/>
  <c r="N5" i="22"/>
  <c r="N2" i="22" s="1"/>
  <c r="N15" i="22" s="1"/>
  <c r="M5" i="22"/>
  <c r="E4" i="22" s="1"/>
  <c r="L5" i="22"/>
  <c r="K5" i="22"/>
  <c r="T5" i="22" s="1"/>
  <c r="M4" i="22"/>
  <c r="M2" i="22" s="1"/>
  <c r="M15" i="22" s="1"/>
  <c r="M26" i="22" s="1"/>
  <c r="M29" i="22" s="1"/>
  <c r="L4" i="22"/>
  <c r="L2" i="22" s="1"/>
  <c r="L15" i="22" s="1"/>
  <c r="L26" i="22" s="1"/>
  <c r="L29" i="22" s="1"/>
  <c r="K4" i="22"/>
  <c r="D4" i="22"/>
  <c r="D6" i="22" s="1"/>
  <c r="C4" i="22"/>
  <c r="C6" i="22" s="1"/>
  <c r="S3" i="22"/>
  <c r="S2" i="22" s="1"/>
  <c r="S15" i="22" s="1"/>
  <c r="S26" i="22" s="1"/>
  <c r="S29" i="22" s="1"/>
  <c r="R3" i="22"/>
  <c r="R2" i="22" s="1"/>
  <c r="R15" i="22" s="1"/>
  <c r="R26" i="22" s="1"/>
  <c r="R29" i="22" s="1"/>
  <c r="Q3" i="22"/>
  <c r="Q2" i="22" s="1"/>
  <c r="Q15" i="22" s="1"/>
  <c r="P3" i="22"/>
  <c r="P2" i="22" s="1"/>
  <c r="P15" i="22" s="1"/>
  <c r="P26" i="22" s="1"/>
  <c r="P29" i="22" s="1"/>
  <c r="O3" i="22"/>
  <c r="N3" i="22"/>
  <c r="T3" i="22" s="1"/>
  <c r="B3" i="22"/>
  <c r="O2" i="22"/>
  <c r="O15" i="22" s="1"/>
  <c r="O26" i="22" s="1"/>
  <c r="O29" i="22" s="1"/>
  <c r="J2" i="22"/>
  <c r="J15" i="22" s="1"/>
  <c r="G2" i="22"/>
  <c r="N55" i="20"/>
  <c r="N33" i="20"/>
  <c r="F5" i="20"/>
  <c r="E5" i="20"/>
  <c r="M55" i="20"/>
  <c r="F3" i="20"/>
  <c r="E3" i="20"/>
  <c r="M33" i="20"/>
  <c r="M35" i="20"/>
  <c r="E4" i="20"/>
  <c r="F4" i="20"/>
  <c r="C4" i="20"/>
  <c r="D4" i="20"/>
  <c r="B3" i="20"/>
  <c r="B4" i="20"/>
  <c r="L35" i="20"/>
  <c r="K35" i="20"/>
  <c r="J35" i="20"/>
  <c r="T58" i="20"/>
  <c r="S57" i="20"/>
  <c r="R57" i="20"/>
  <c r="Q57" i="20"/>
  <c r="P57" i="20"/>
  <c r="O57" i="20"/>
  <c r="K57" i="20"/>
  <c r="T57" i="20" s="1"/>
  <c r="S55" i="20"/>
  <c r="S46" i="20" s="1"/>
  <c r="R55" i="20"/>
  <c r="Q55" i="20"/>
  <c r="Q46" i="20" s="1"/>
  <c r="O55" i="20"/>
  <c r="T55" i="20" s="1"/>
  <c r="T54" i="20"/>
  <c r="T53" i="20"/>
  <c r="T52" i="20"/>
  <c r="N51" i="20"/>
  <c r="T51" i="20" s="1"/>
  <c r="M51" i="20"/>
  <c r="L51" i="20"/>
  <c r="K51" i="20"/>
  <c r="N50" i="20"/>
  <c r="M50" i="20"/>
  <c r="M46" i="20" s="1"/>
  <c r="L50" i="20"/>
  <c r="K50" i="20"/>
  <c r="T50" i="20" s="1"/>
  <c r="T49" i="20"/>
  <c r="T48" i="20"/>
  <c r="T47" i="20"/>
  <c r="R46" i="20"/>
  <c r="P46" i="20"/>
  <c r="N46" i="20"/>
  <c r="L46" i="20"/>
  <c r="K46" i="20"/>
  <c r="J46" i="20"/>
  <c r="T44" i="20"/>
  <c r="T43" i="20"/>
  <c r="T42" i="20"/>
  <c r="T41" i="20"/>
  <c r="T40" i="20"/>
  <c r="T39" i="20"/>
  <c r="T38" i="20"/>
  <c r="S37" i="20"/>
  <c r="R37" i="20"/>
  <c r="Q37" i="20"/>
  <c r="P37" i="20"/>
  <c r="O37" i="20"/>
  <c r="N37" i="20"/>
  <c r="M37" i="20"/>
  <c r="T37" i="20" s="1"/>
  <c r="L37" i="20"/>
  <c r="K37" i="20"/>
  <c r="T36" i="20"/>
  <c r="N32" i="20"/>
  <c r="N45" i="20" s="1"/>
  <c r="M32" i="20"/>
  <c r="M45" i="20" s="1"/>
  <c r="T35" i="20"/>
  <c r="M34" i="20"/>
  <c r="L34" i="20"/>
  <c r="L32" i="20" s="1"/>
  <c r="L45" i="20" s="1"/>
  <c r="L56" i="20" s="1"/>
  <c r="L59" i="20" s="1"/>
  <c r="K34" i="20"/>
  <c r="K32" i="20" s="1"/>
  <c r="K45" i="20" s="1"/>
  <c r="K56" i="20" s="1"/>
  <c r="K59" i="20" s="1"/>
  <c r="S33" i="20"/>
  <c r="S32" i="20" s="1"/>
  <c r="S45" i="20" s="1"/>
  <c r="S56" i="20" s="1"/>
  <c r="S59" i="20" s="1"/>
  <c r="R33" i="20"/>
  <c r="R32" i="20" s="1"/>
  <c r="R45" i="20" s="1"/>
  <c r="R56" i="20" s="1"/>
  <c r="R59" i="20" s="1"/>
  <c r="Q33" i="20"/>
  <c r="P33" i="20"/>
  <c r="O33" i="20"/>
  <c r="O32" i="20" s="1"/>
  <c r="O45" i="20" s="1"/>
  <c r="T33" i="20"/>
  <c r="Q32" i="20"/>
  <c r="Q45" i="20" s="1"/>
  <c r="P32" i="20"/>
  <c r="P45" i="20" s="1"/>
  <c r="P56" i="20" s="1"/>
  <c r="P59" i="20" s="1"/>
  <c r="J32" i="20"/>
  <c r="J16" i="20"/>
  <c r="T3" i="20"/>
  <c r="T4" i="20"/>
  <c r="T6" i="20"/>
  <c r="T7" i="20"/>
  <c r="T8" i="20"/>
  <c r="T9" i="20"/>
  <c r="T10" i="20"/>
  <c r="T11" i="20"/>
  <c r="T12" i="20"/>
  <c r="T13" i="20"/>
  <c r="T14" i="20"/>
  <c r="T16" i="20"/>
  <c r="T17" i="20"/>
  <c r="T18" i="20"/>
  <c r="T19" i="20"/>
  <c r="T20" i="20"/>
  <c r="T21" i="20"/>
  <c r="T22" i="20"/>
  <c r="T23" i="20"/>
  <c r="T24" i="20"/>
  <c r="T25" i="20"/>
  <c r="T27" i="20"/>
  <c r="T28" i="20"/>
  <c r="S27" i="20"/>
  <c r="R27" i="20"/>
  <c r="Q27" i="20"/>
  <c r="P27" i="20"/>
  <c r="O27" i="20"/>
  <c r="S25" i="20"/>
  <c r="R25" i="20"/>
  <c r="Q25" i="20"/>
  <c r="O25" i="20"/>
  <c r="S16" i="20"/>
  <c r="R16" i="20"/>
  <c r="P16" i="20"/>
  <c r="O16" i="20"/>
  <c r="S7" i="20"/>
  <c r="R7" i="20"/>
  <c r="Q7" i="20"/>
  <c r="P7" i="20"/>
  <c r="O7" i="20"/>
  <c r="S3" i="20"/>
  <c r="S2" i="20" s="1"/>
  <c r="S15" i="20" s="1"/>
  <c r="S26" i="20" s="1"/>
  <c r="R3" i="20"/>
  <c r="R2" i="20" s="1"/>
  <c r="R15" i="20" s="1"/>
  <c r="R26" i="20" s="1"/>
  <c r="R29" i="20" s="1"/>
  <c r="Q3" i="20"/>
  <c r="Q2" i="20" s="1"/>
  <c r="Q15" i="20" s="1"/>
  <c r="P3" i="20"/>
  <c r="P2" i="20" s="1"/>
  <c r="P15" i="20" s="1"/>
  <c r="P26" i="20" s="1"/>
  <c r="P29" i="20" s="1"/>
  <c r="O3" i="20"/>
  <c r="K27" i="20"/>
  <c r="N25" i="20"/>
  <c r="N21" i="20"/>
  <c r="M21" i="20"/>
  <c r="L21" i="20"/>
  <c r="K21" i="20"/>
  <c r="N20" i="20"/>
  <c r="M20" i="20"/>
  <c r="L20" i="20"/>
  <c r="L16" i="20" s="1"/>
  <c r="K20" i="20"/>
  <c r="K16" i="20" s="1"/>
  <c r="N7" i="20"/>
  <c r="M7" i="20"/>
  <c r="L7" i="20"/>
  <c r="K7" i="20"/>
  <c r="N5" i="20"/>
  <c r="N2" i="20" s="1"/>
  <c r="N15" i="20" s="1"/>
  <c r="M5" i="20"/>
  <c r="L5" i="20"/>
  <c r="K5" i="20"/>
  <c r="M4" i="20"/>
  <c r="M2" i="20" s="1"/>
  <c r="M15" i="20" s="1"/>
  <c r="L4" i="20"/>
  <c r="L2" i="20" s="1"/>
  <c r="L15" i="20" s="1"/>
  <c r="K4" i="20"/>
  <c r="K2" i="20" s="1"/>
  <c r="K15" i="20" s="1"/>
  <c r="N3" i="20"/>
  <c r="B28" i="13"/>
  <c r="T16" i="22" l="1"/>
  <c r="O56" i="22"/>
  <c r="O59" i="22" s="1"/>
  <c r="N26" i="22"/>
  <c r="N29" i="22" s="1"/>
  <c r="J45" i="22"/>
  <c r="J26" i="22"/>
  <c r="Q26" i="22"/>
  <c r="Q29" i="22" s="1"/>
  <c r="K56" i="22"/>
  <c r="K59" i="22" s="1"/>
  <c r="T33" i="22"/>
  <c r="E5" i="22"/>
  <c r="G5" i="22" s="1"/>
  <c r="K2" i="22"/>
  <c r="K15" i="22" s="1"/>
  <c r="K26" i="22" s="1"/>
  <c r="K29" i="22" s="1"/>
  <c r="F3" i="22"/>
  <c r="T4" i="22"/>
  <c r="F4" i="22"/>
  <c r="T20" i="22"/>
  <c r="M32" i="22"/>
  <c r="M45" i="22" s="1"/>
  <c r="M56" i="22" s="1"/>
  <c r="M59" i="22" s="1"/>
  <c r="T35" i="22"/>
  <c r="T50" i="22"/>
  <c r="T2" i="22"/>
  <c r="B4" i="22"/>
  <c r="G4" i="22" s="1"/>
  <c r="N56" i="20"/>
  <c r="N59" i="20" s="1"/>
  <c r="M56" i="20"/>
  <c r="M59" i="20" s="1"/>
  <c r="T5" i="20"/>
  <c r="J2" i="20"/>
  <c r="J15" i="20" s="1"/>
  <c r="T32" i="20"/>
  <c r="Q56" i="20"/>
  <c r="Q59" i="20" s="1"/>
  <c r="T46" i="20"/>
  <c r="O46" i="20"/>
  <c r="O56" i="20" s="1"/>
  <c r="O59" i="20" s="1"/>
  <c r="T34" i="20"/>
  <c r="J45" i="20"/>
  <c r="K26" i="20"/>
  <c r="M16" i="20"/>
  <c r="M26" i="20" s="1"/>
  <c r="M29" i="20" s="1"/>
  <c r="N16" i="20"/>
  <c r="S29" i="20"/>
  <c r="O2" i="20"/>
  <c r="T2" i="20" s="1"/>
  <c r="Q16" i="20"/>
  <c r="L26" i="20"/>
  <c r="L29" i="20" s="1"/>
  <c r="N26" i="20"/>
  <c r="N29" i="20" s="1"/>
  <c r="T45" i="22" l="1"/>
  <c r="J56" i="22"/>
  <c r="F6" i="22"/>
  <c r="T26" i="22"/>
  <c r="J29" i="22"/>
  <c r="T29" i="22" s="1"/>
  <c r="T15" i="22"/>
  <c r="B6" i="22"/>
  <c r="G3" i="22"/>
  <c r="T32" i="22"/>
  <c r="E6" i="22"/>
  <c r="J26" i="20"/>
  <c r="J56" i="20"/>
  <c r="T45" i="20"/>
  <c r="K29" i="20"/>
  <c r="O15" i="20"/>
  <c r="O26" i="20" s="1"/>
  <c r="Q26" i="20"/>
  <c r="Q29" i="20" s="1"/>
  <c r="T56" i="22" l="1"/>
  <c r="J59" i="22"/>
  <c r="T59" i="22" s="1"/>
  <c r="G6" i="22"/>
  <c r="J29" i="20"/>
  <c r="T29" i="20" s="1"/>
  <c r="T26" i="20"/>
  <c r="T15" i="20"/>
  <c r="T56" i="20"/>
  <c r="J59" i="20"/>
  <c r="T59" i="20" s="1"/>
  <c r="O29" i="20"/>
  <c r="J15" i="19" l="1"/>
  <c r="I15" i="19"/>
  <c r="C19" i="19"/>
  <c r="B19" i="19"/>
  <c r="J11" i="19"/>
  <c r="C18" i="19"/>
  <c r="B18" i="19"/>
  <c r="I11" i="19" s="1"/>
  <c r="C17" i="19"/>
  <c r="J10" i="19" s="1"/>
  <c r="B17" i="19"/>
  <c r="I10" i="19" s="1"/>
  <c r="J9" i="19"/>
  <c r="I9" i="19"/>
  <c r="E3" i="10" l="1"/>
  <c r="B4" i="10"/>
  <c r="C4" i="10"/>
  <c r="D4" i="10"/>
  <c r="B7" i="10"/>
  <c r="C7" i="10"/>
  <c r="D7" i="10"/>
  <c r="E7" i="10"/>
  <c r="B20" i="10"/>
  <c r="B16" i="10" s="1"/>
  <c r="C20" i="10"/>
  <c r="C16" i="10" s="1"/>
  <c r="D20" i="10"/>
  <c r="D16" i="10" s="1"/>
  <c r="E20" i="10"/>
  <c r="B21" i="10"/>
  <c r="C21" i="10"/>
  <c r="D21" i="10"/>
  <c r="E21" i="10"/>
  <c r="E25" i="10"/>
  <c r="B27" i="10"/>
  <c r="F16" i="10" l="1"/>
  <c r="F7" i="10"/>
  <c r="E16" i="10"/>
  <c r="F6" i="20"/>
  <c r="E6" i="20"/>
  <c r="D6" i="20"/>
  <c r="C6" i="20"/>
  <c r="G5" i="20"/>
  <c r="G3" i="20"/>
  <c r="G2" i="20"/>
  <c r="C23" i="13"/>
  <c r="D23" i="13" s="1"/>
  <c r="B22" i="13"/>
  <c r="C21" i="13" s="1"/>
  <c r="C22" i="13" s="1"/>
  <c r="D21" i="13" s="1"/>
  <c r="D22" i="13" s="1"/>
  <c r="M2" i="18" l="1"/>
  <c r="C3" i="18" l="1"/>
  <c r="D4" i="18"/>
  <c r="D3" i="18" l="1"/>
  <c r="G4" i="12" l="1"/>
  <c r="G5" i="12"/>
  <c r="G7" i="12"/>
  <c r="G8" i="12"/>
  <c r="G9" i="12"/>
  <c r="G10" i="12"/>
  <c r="G11" i="12"/>
  <c r="G12" i="12"/>
  <c r="G13" i="12"/>
  <c r="G16" i="12"/>
  <c r="G17" i="12"/>
  <c r="G18" i="12"/>
  <c r="G19" i="12"/>
  <c r="G20" i="12"/>
  <c r="G21" i="12"/>
  <c r="G22" i="12"/>
  <c r="G23" i="12"/>
  <c r="G27" i="12"/>
  <c r="C13" i="19" l="1"/>
  <c r="B13" i="19"/>
  <c r="B15" i="19" l="1"/>
  <c r="I14" i="19" s="1"/>
  <c r="I13" i="19"/>
  <c r="C15" i="19"/>
  <c r="J14" i="19" s="1"/>
  <c r="J13" i="19"/>
  <c r="C7" i="19"/>
  <c r="J12" i="19" s="1"/>
  <c r="B7" i="19"/>
  <c r="I12" i="19" s="1"/>
  <c r="E3" i="19" l="1"/>
  <c r="E7" i="19" s="1"/>
  <c r="F3" i="19"/>
  <c r="E3" i="18" l="1"/>
  <c r="E4" i="18"/>
  <c r="F3" i="18" l="1"/>
  <c r="G3" i="18" s="1"/>
  <c r="F4" i="18"/>
  <c r="G4" i="18" s="1"/>
  <c r="H3" i="18" l="1"/>
  <c r="I3" i="18" s="1"/>
  <c r="J3" i="18" s="1"/>
  <c r="H4" i="18"/>
  <c r="I4" i="18" s="1"/>
  <c r="J4" i="18" s="1"/>
  <c r="K3" i="18"/>
  <c r="K4" i="18" l="1"/>
  <c r="L3" i="18"/>
  <c r="M3" i="18" s="1"/>
  <c r="L4" i="18" l="1"/>
  <c r="M4" i="18" s="1"/>
  <c r="N9" i="15" l="1"/>
  <c r="S6" i="15" s="1"/>
  <c r="F18" i="17" l="1"/>
  <c r="E18" i="17"/>
  <c r="D18" i="17"/>
  <c r="C18" i="17"/>
  <c r="B18" i="17"/>
  <c r="D12" i="17"/>
  <c r="C12" i="17"/>
  <c r="B12" i="17"/>
  <c r="D10" i="17"/>
  <c r="C10" i="17"/>
  <c r="B10" i="17"/>
  <c r="K5" i="15" s="1"/>
  <c r="G7" i="17"/>
  <c r="F7" i="17"/>
  <c r="E7" i="17"/>
  <c r="D7" i="17"/>
  <c r="C7" i="17"/>
  <c r="B7" i="17"/>
  <c r="B2" i="17"/>
  <c r="H5" i="15" l="1"/>
  <c r="L5" i="15"/>
  <c r="M5" i="15"/>
  <c r="B13" i="17"/>
  <c r="I7" i="15"/>
  <c r="M7" i="15"/>
  <c r="L7" i="15"/>
  <c r="K7" i="15"/>
  <c r="J7" i="15"/>
  <c r="J5" i="15"/>
  <c r="I5" i="15"/>
  <c r="H7" i="15"/>
  <c r="S5" i="15" s="1"/>
  <c r="C13" i="17"/>
  <c r="C14" i="17" s="1"/>
  <c r="D13" i="17"/>
  <c r="D14" i="17" s="1"/>
  <c r="D5" i="10" l="1"/>
  <c r="D2" i="10" s="1"/>
  <c r="D15" i="10" s="1"/>
  <c r="D26" i="10" s="1"/>
  <c r="D29" i="10" s="1"/>
  <c r="B5" i="10"/>
  <c r="C5" i="10"/>
  <c r="C2" i="10" s="1"/>
  <c r="C15" i="10" s="1"/>
  <c r="C26" i="10" s="1"/>
  <c r="C29" i="10" s="1"/>
  <c r="E5" i="10"/>
  <c r="E2" i="10" s="1"/>
  <c r="E15" i="10" s="1"/>
  <c r="E26" i="10" s="1"/>
  <c r="E29" i="10" s="1"/>
  <c r="B14" i="17"/>
  <c r="B2" i="10" l="1"/>
  <c r="F2" i="10" s="1"/>
  <c r="O5" i="10"/>
  <c r="P5" i="10"/>
  <c r="D28" i="9"/>
  <c r="D11" i="9"/>
  <c r="D10" i="9"/>
  <c r="D9" i="9"/>
  <c r="D8" i="9"/>
  <c r="D4" i="9"/>
  <c r="C45" i="15"/>
  <c r="E42" i="15" s="1"/>
  <c r="E45" i="15" s="1"/>
  <c r="B15" i="10" l="1"/>
  <c r="F15" i="10" s="1"/>
  <c r="B25" i="16"/>
  <c r="B22" i="16"/>
  <c r="B13" i="16" s="1"/>
  <c r="B4" i="16"/>
  <c r="B3" i="16"/>
  <c r="B2" i="16" s="1"/>
  <c r="B26" i="10" l="1"/>
  <c r="F26" i="10" s="1"/>
  <c r="B12" i="16"/>
  <c r="B23" i="16" s="1"/>
  <c r="B27" i="16" s="1"/>
  <c r="E4" i="7"/>
  <c r="E8" i="7"/>
  <c r="E9" i="7"/>
  <c r="E10" i="7"/>
  <c r="E11" i="7"/>
  <c r="E27" i="7"/>
  <c r="E28" i="7"/>
  <c r="B25" i="9"/>
  <c r="B24" i="9"/>
  <c r="B23" i="9"/>
  <c r="B22" i="9"/>
  <c r="B21" i="9"/>
  <c r="B20" i="9"/>
  <c r="B18" i="9"/>
  <c r="B19" i="9"/>
  <c r="B17" i="9"/>
  <c r="B14" i="9"/>
  <c r="B13" i="9"/>
  <c r="B12" i="9"/>
  <c r="B6" i="9"/>
  <c r="B3" i="9"/>
  <c r="D4" i="7"/>
  <c r="D8" i="7"/>
  <c r="D9" i="7"/>
  <c r="D10" i="7"/>
  <c r="D11" i="7"/>
  <c r="D12" i="7"/>
  <c r="D13" i="7"/>
  <c r="D14" i="7"/>
  <c r="D27" i="7"/>
  <c r="D28" i="7"/>
  <c r="B21" i="6"/>
  <c r="D21" i="7" s="1"/>
  <c r="B25" i="6"/>
  <c r="D25" i="7" s="1"/>
  <c r="B24" i="6"/>
  <c r="D24" i="7" s="1"/>
  <c r="B23" i="6"/>
  <c r="D23" i="7" s="1"/>
  <c r="B22" i="6"/>
  <c r="D22" i="7" s="1"/>
  <c r="B20" i="6"/>
  <c r="D20" i="7" s="1"/>
  <c r="B19" i="6"/>
  <c r="D19" i="7" s="1"/>
  <c r="B18" i="6"/>
  <c r="D18" i="7" s="1"/>
  <c r="B17" i="6"/>
  <c r="D17" i="7" s="1"/>
  <c r="B6" i="6"/>
  <c r="D6" i="7" s="1"/>
  <c r="B3" i="6"/>
  <c r="D3" i="7" s="1"/>
  <c r="B25" i="5"/>
  <c r="B24" i="5"/>
  <c r="B23" i="5"/>
  <c r="B22" i="5"/>
  <c r="B21" i="5"/>
  <c r="B20" i="5"/>
  <c r="B19" i="5"/>
  <c r="B18" i="5"/>
  <c r="B17" i="5"/>
  <c r="B6" i="5"/>
  <c r="B5" i="5"/>
  <c r="B3" i="5"/>
  <c r="B25" i="2"/>
  <c r="B24" i="2"/>
  <c r="B23" i="2"/>
  <c r="B22" i="2"/>
  <c r="B21" i="2"/>
  <c r="B20" i="2"/>
  <c r="B18" i="2"/>
  <c r="B19" i="2"/>
  <c r="B17" i="2"/>
  <c r="B6" i="2"/>
  <c r="B5" i="2"/>
  <c r="B3" i="2"/>
  <c r="B2" i="2" l="1"/>
  <c r="E3" i="16"/>
  <c r="E7" i="16" s="1"/>
  <c r="G3" i="16" s="1"/>
  <c r="G7" i="16" s="1"/>
  <c r="B29" i="10"/>
  <c r="F29" i="10" s="1"/>
  <c r="E3" i="7"/>
  <c r="D3" i="9"/>
  <c r="E18" i="7"/>
  <c r="D18" i="9"/>
  <c r="E12" i="7"/>
  <c r="D12" i="9"/>
  <c r="E20" i="7"/>
  <c r="D20" i="9"/>
  <c r="E17" i="7"/>
  <c r="D17" i="9"/>
  <c r="E23" i="7"/>
  <c r="D23" i="9"/>
  <c r="E19" i="7"/>
  <c r="D19" i="9"/>
  <c r="E24" i="7"/>
  <c r="D24" i="9"/>
  <c r="E6" i="7"/>
  <c r="D6" i="9"/>
  <c r="E25" i="7"/>
  <c r="D25" i="9"/>
  <c r="E13" i="7"/>
  <c r="D13" i="9"/>
  <c r="E21" i="7"/>
  <c r="D21" i="9"/>
  <c r="E14" i="7"/>
  <c r="D14" i="9"/>
  <c r="E22" i="7"/>
  <c r="D22" i="9"/>
  <c r="B16" i="9"/>
  <c r="B7" i="9"/>
  <c r="E16" i="7" l="1"/>
  <c r="D16" i="9"/>
  <c r="E7" i="7"/>
  <c r="D7" i="9"/>
  <c r="T26" i="15"/>
  <c r="B30" i="14"/>
  <c r="N30" i="14" s="1"/>
  <c r="C26" i="12"/>
  <c r="F26" i="12" l="1"/>
  <c r="C18" i="13"/>
  <c r="D18" i="13" s="1"/>
  <c r="E18" i="13" s="1"/>
  <c r="F18" i="13" s="1"/>
  <c r="G18" i="13" s="1"/>
  <c r="B17" i="13"/>
  <c r="C16" i="13" s="1"/>
  <c r="C17" i="13" l="1"/>
  <c r="D16" i="13" s="1"/>
  <c r="D17" i="13" s="1"/>
  <c r="E16" i="13" s="1"/>
  <c r="E17" i="13" s="1"/>
  <c r="F16" i="13" s="1"/>
  <c r="F17" i="13" s="1"/>
  <c r="G16" i="13" s="1"/>
  <c r="G17" i="13" s="1"/>
  <c r="P21" i="10" l="1"/>
  <c r="P20" i="10"/>
  <c r="O21" i="10"/>
  <c r="O20" i="10"/>
  <c r="P6" i="10" l="1"/>
  <c r="O6" i="10"/>
  <c r="F24" i="12" l="1"/>
  <c r="E24" i="12"/>
  <c r="D24" i="12"/>
  <c r="K8" i="12" l="1"/>
  <c r="M4" i="12" s="1"/>
  <c r="E26" i="12"/>
  <c r="B26" i="12"/>
  <c r="O25" i="10"/>
  <c r="P25" i="10"/>
  <c r="J8" i="10"/>
  <c r="L4" i="10" s="1"/>
  <c r="M8" i="15"/>
  <c r="C21" i="14"/>
  <c r="D21" i="14"/>
  <c r="E21" i="14"/>
  <c r="F21" i="14"/>
  <c r="G21" i="14"/>
  <c r="H21" i="14"/>
  <c r="I21" i="14"/>
  <c r="J21" i="14"/>
  <c r="K21" i="14"/>
  <c r="L21" i="14"/>
  <c r="M21" i="14"/>
  <c r="C17" i="14"/>
  <c r="D17" i="14"/>
  <c r="E17" i="14"/>
  <c r="F17" i="14"/>
  <c r="G17" i="14"/>
  <c r="H17" i="14"/>
  <c r="I17" i="14"/>
  <c r="J17" i="14"/>
  <c r="K17" i="14"/>
  <c r="L17" i="14"/>
  <c r="M17" i="14"/>
  <c r="C10" i="14"/>
  <c r="D10" i="14"/>
  <c r="E10" i="14"/>
  <c r="F10" i="14"/>
  <c r="G10" i="14"/>
  <c r="H10" i="14"/>
  <c r="I10" i="14"/>
  <c r="J10" i="14"/>
  <c r="K10" i="14"/>
  <c r="L10" i="14"/>
  <c r="M10" i="14"/>
  <c r="B10" i="14"/>
  <c r="N11" i="14"/>
  <c r="S17" i="14" s="1"/>
  <c r="N12" i="14"/>
  <c r="S18" i="14" s="1"/>
  <c r="N13" i="14"/>
  <c r="N14" i="14"/>
  <c r="N15" i="14"/>
  <c r="N16" i="14"/>
  <c r="N18" i="14"/>
  <c r="N19" i="14"/>
  <c r="S21" i="14" s="1"/>
  <c r="N20" i="14"/>
  <c r="N22" i="14"/>
  <c r="S22" i="14" s="1"/>
  <c r="N23" i="14"/>
  <c r="N24" i="14"/>
  <c r="S27" i="14" s="1"/>
  <c r="N25" i="14"/>
  <c r="N26" i="14"/>
  <c r="N27" i="14"/>
  <c r="N28" i="14"/>
  <c r="S13" i="14" s="1"/>
  <c r="N29" i="14"/>
  <c r="S14" i="14" s="1"/>
  <c r="B17" i="14"/>
  <c r="B21" i="14"/>
  <c r="I2" i="15"/>
  <c r="H2" i="15"/>
  <c r="C2" i="15"/>
  <c r="B2" i="15"/>
  <c r="B22" i="15"/>
  <c r="C11" i="15"/>
  <c r="D11" i="15"/>
  <c r="E11" i="15"/>
  <c r="F11" i="15"/>
  <c r="G11" i="15"/>
  <c r="H11" i="15"/>
  <c r="I11" i="15"/>
  <c r="J11" i="15"/>
  <c r="K11" i="15"/>
  <c r="L11" i="15"/>
  <c r="M11" i="15"/>
  <c r="B11" i="15"/>
  <c r="C18" i="15"/>
  <c r="D18" i="15"/>
  <c r="E18" i="15"/>
  <c r="F18" i="15"/>
  <c r="G18" i="15"/>
  <c r="H18" i="15"/>
  <c r="I18" i="15"/>
  <c r="J18" i="15"/>
  <c r="K18" i="15"/>
  <c r="L18" i="15"/>
  <c r="M18" i="15"/>
  <c r="B18" i="15"/>
  <c r="E5" i="15"/>
  <c r="D5" i="15"/>
  <c r="C5" i="15"/>
  <c r="F5" i="15"/>
  <c r="G5" i="15"/>
  <c r="B5" i="15"/>
  <c r="N31" i="15"/>
  <c r="N30" i="15"/>
  <c r="N29" i="15"/>
  <c r="N28" i="15"/>
  <c r="N27" i="15"/>
  <c r="S11" i="15" s="1"/>
  <c r="N25" i="15"/>
  <c r="S28" i="15" s="1"/>
  <c r="N23" i="15"/>
  <c r="N21" i="15"/>
  <c r="N17" i="15"/>
  <c r="N16" i="15"/>
  <c r="S10" i="15" s="1"/>
  <c r="N15" i="15"/>
  <c r="S8" i="15" s="1"/>
  <c r="N6" i="15"/>
  <c r="N4" i="15"/>
  <c r="S4" i="15" s="1"/>
  <c r="N3" i="15"/>
  <c r="M2" i="15"/>
  <c r="L2" i="15"/>
  <c r="K2" i="15"/>
  <c r="J2" i="15"/>
  <c r="G2" i="15"/>
  <c r="F2" i="15"/>
  <c r="E2" i="15"/>
  <c r="D2" i="15"/>
  <c r="T5" i="14"/>
  <c r="C7" i="14"/>
  <c r="D7" i="14"/>
  <c r="E7" i="14"/>
  <c r="F7" i="14"/>
  <c r="G7" i="14"/>
  <c r="H7" i="14"/>
  <c r="I7" i="14"/>
  <c r="J7" i="14"/>
  <c r="K7" i="14"/>
  <c r="L7" i="14"/>
  <c r="M7" i="14"/>
  <c r="B7" i="14"/>
  <c r="N8" i="14"/>
  <c r="S6" i="14" s="1"/>
  <c r="T6" i="14" s="1"/>
  <c r="U8" i="15" l="1"/>
  <c r="S22" i="15"/>
  <c r="S14" i="15"/>
  <c r="S12" i="15"/>
  <c r="S13" i="15"/>
  <c r="B33" i="15"/>
  <c r="B5" i="6"/>
  <c r="D5" i="7" s="1"/>
  <c r="B31" i="14"/>
  <c r="B5" i="9"/>
  <c r="D5" i="9" s="1"/>
  <c r="J31" i="14"/>
  <c r="E31" i="14"/>
  <c r="N17" i="14"/>
  <c r="K31" i="14"/>
  <c r="H31" i="14"/>
  <c r="N10" i="14"/>
  <c r="D31" i="14"/>
  <c r="S9" i="15"/>
  <c r="M8" i="12"/>
  <c r="S3" i="15"/>
  <c r="U28" i="15"/>
  <c r="U10" i="15"/>
  <c r="U11" i="15"/>
  <c r="U4" i="15"/>
  <c r="N11" i="15"/>
  <c r="N7" i="15"/>
  <c r="I31" i="14"/>
  <c r="C31" i="14"/>
  <c r="M31" i="14"/>
  <c r="F31" i="14"/>
  <c r="G31" i="14"/>
  <c r="L31" i="14"/>
  <c r="T22" i="14"/>
  <c r="T14" i="14"/>
  <c r="T27" i="14"/>
  <c r="T17" i="14"/>
  <c r="T13" i="14"/>
  <c r="T21" i="14"/>
  <c r="T18" i="14"/>
  <c r="S23" i="14"/>
  <c r="N18" i="15"/>
  <c r="N26" i="15"/>
  <c r="N24" i="15"/>
  <c r="N20" i="15"/>
  <c r="S21" i="15" s="1"/>
  <c r="N19" i="15"/>
  <c r="N14" i="15"/>
  <c r="N13" i="15"/>
  <c r="N12" i="15"/>
  <c r="M10" i="15"/>
  <c r="N2" i="15"/>
  <c r="S9" i="14"/>
  <c r="S20" i="14"/>
  <c r="T20" i="14" s="1"/>
  <c r="S11" i="14"/>
  <c r="S19" i="14"/>
  <c r="S24" i="14"/>
  <c r="S10" i="14"/>
  <c r="S12" i="14"/>
  <c r="S2" i="15" l="1"/>
  <c r="U3" i="15"/>
  <c r="U12" i="15"/>
  <c r="U22" i="15"/>
  <c r="U14" i="15"/>
  <c r="S24" i="15"/>
  <c r="S18" i="15"/>
  <c r="S20" i="15"/>
  <c r="S17" i="15"/>
  <c r="S19" i="15"/>
  <c r="U13" i="15"/>
  <c r="N5" i="15"/>
  <c r="S23" i="15"/>
  <c r="E5" i="7"/>
  <c r="B2" i="9"/>
  <c r="D2" i="9" s="1"/>
  <c r="U9" i="15"/>
  <c r="S7" i="15"/>
  <c r="U21" i="15"/>
  <c r="U5" i="15"/>
  <c r="N31" i="14"/>
  <c r="T12" i="14"/>
  <c r="T9" i="14"/>
  <c r="T10" i="14"/>
  <c r="T24" i="14"/>
  <c r="T19" i="14"/>
  <c r="T11" i="14"/>
  <c r="T23" i="14"/>
  <c r="S16" i="14"/>
  <c r="S8" i="14"/>
  <c r="U19" i="15" l="1"/>
  <c r="U17" i="15"/>
  <c r="U23" i="15"/>
  <c r="U18" i="15"/>
  <c r="U24" i="15"/>
  <c r="U20" i="15"/>
  <c r="E2" i="7"/>
  <c r="B15" i="9"/>
  <c r="D15" i="9" s="1"/>
  <c r="U7" i="15"/>
  <c r="T8" i="14"/>
  <c r="T16" i="14"/>
  <c r="S7" i="14"/>
  <c r="B26" i="9" l="1"/>
  <c r="D26" i="9" s="1"/>
  <c r="E15" i="7"/>
  <c r="T7" i="14"/>
  <c r="B29" i="9" l="1"/>
  <c r="E26" i="7"/>
  <c r="C5" i="14"/>
  <c r="D5" i="14"/>
  <c r="E5" i="14"/>
  <c r="F5" i="14"/>
  <c r="G5" i="14"/>
  <c r="H5" i="14"/>
  <c r="I5" i="14"/>
  <c r="J5" i="14"/>
  <c r="K5" i="14"/>
  <c r="L5" i="14"/>
  <c r="M5" i="14"/>
  <c r="B5" i="14"/>
  <c r="N6" i="14"/>
  <c r="C2" i="14"/>
  <c r="D2" i="14"/>
  <c r="E2" i="14"/>
  <c r="F2" i="14"/>
  <c r="G2" i="14"/>
  <c r="H2" i="14"/>
  <c r="I2" i="14"/>
  <c r="J2" i="14"/>
  <c r="K2" i="14"/>
  <c r="L2" i="14"/>
  <c r="M2" i="14"/>
  <c r="B2" i="14"/>
  <c r="N4" i="14"/>
  <c r="S4" i="14" s="1"/>
  <c r="N3" i="14"/>
  <c r="E29" i="7" l="1"/>
  <c r="D29" i="9"/>
  <c r="I9" i="14"/>
  <c r="I32" i="14" s="1"/>
  <c r="C9" i="14"/>
  <c r="C32" i="14" s="1"/>
  <c r="M9" i="14"/>
  <c r="M32" i="14" s="1"/>
  <c r="G9" i="14"/>
  <c r="G32" i="14" s="1"/>
  <c r="K9" i="14"/>
  <c r="K32" i="14" s="1"/>
  <c r="E9" i="14"/>
  <c r="E32" i="14" s="1"/>
  <c r="H9" i="14"/>
  <c r="H32" i="14" s="1"/>
  <c r="T4" i="14"/>
  <c r="N5" i="14"/>
  <c r="L9" i="14"/>
  <c r="L32" i="14" s="1"/>
  <c r="F9" i="14"/>
  <c r="F32" i="14" s="1"/>
  <c r="N2" i="14"/>
  <c r="B9" i="14"/>
  <c r="B32" i="14" s="1"/>
  <c r="S3" i="14"/>
  <c r="T3" i="14" s="1"/>
  <c r="J9" i="14"/>
  <c r="J32" i="14" s="1"/>
  <c r="D9" i="14"/>
  <c r="D32" i="14" s="1"/>
  <c r="S2" i="14" l="1"/>
  <c r="T2" i="14" s="1"/>
  <c r="N9" i="14"/>
  <c r="N32" i="14" s="1"/>
  <c r="D26" i="12"/>
  <c r="G26" i="12" s="1"/>
  <c r="B44" i="14" l="1"/>
  <c r="B48" i="14" s="1"/>
  <c r="D44" i="14" s="1"/>
  <c r="D48" i="14" s="1"/>
  <c r="S15" i="14"/>
  <c r="T15" i="14" s="1"/>
  <c r="B24" i="12"/>
  <c r="G24" i="12" s="1"/>
  <c r="S25" i="14" l="1"/>
  <c r="T25" i="14" l="1"/>
  <c r="K2" i="13"/>
  <c r="E3" i="13" s="1"/>
  <c r="C12" i="13"/>
  <c r="B3" i="12"/>
  <c r="C3" i="12"/>
  <c r="D3" i="12"/>
  <c r="D2" i="12" s="1"/>
  <c r="E3" i="12"/>
  <c r="E2" i="12" s="1"/>
  <c r="F3" i="12"/>
  <c r="F2" i="12" s="1"/>
  <c r="B6" i="12"/>
  <c r="C6" i="12"/>
  <c r="D6" i="12"/>
  <c r="E6" i="12"/>
  <c r="F6" i="12"/>
  <c r="C15" i="12"/>
  <c r="D15" i="12"/>
  <c r="E15" i="12"/>
  <c r="F15" i="12"/>
  <c r="G6" i="12" l="1"/>
  <c r="B2" i="12"/>
  <c r="G2" i="12" s="1"/>
  <c r="G3" i="12"/>
  <c r="K1" i="13"/>
  <c r="F3" i="13" s="1"/>
  <c r="B4" i="13" s="1"/>
  <c r="E10" i="13"/>
  <c r="E6" i="13"/>
  <c r="C2" i="12"/>
  <c r="C14" i="12" s="1"/>
  <c r="E9" i="13"/>
  <c r="E5" i="13"/>
  <c r="E2" i="13"/>
  <c r="E8" i="13"/>
  <c r="E4" i="13"/>
  <c r="E11" i="13"/>
  <c r="E7" i="13"/>
  <c r="F14" i="12"/>
  <c r="F25" i="12" s="1"/>
  <c r="F28" i="12" s="1"/>
  <c r="D14" i="12"/>
  <c r="D25" i="12" s="1"/>
  <c r="E14" i="12"/>
  <c r="E25" i="12" s="1"/>
  <c r="E28" i="12" s="1"/>
  <c r="B14" i="12"/>
  <c r="G14" i="12" s="1"/>
  <c r="F2" i="13" l="1"/>
  <c r="D2" i="13" s="1"/>
  <c r="F6" i="13"/>
  <c r="J34" i="10" s="1"/>
  <c r="F8" i="13"/>
  <c r="K17" i="12" s="1"/>
  <c r="F10" i="13"/>
  <c r="K37" i="12" s="1"/>
  <c r="F5" i="13"/>
  <c r="J25" i="10" s="1"/>
  <c r="F11" i="13"/>
  <c r="K47" i="12" s="1"/>
  <c r="F9" i="13"/>
  <c r="F7" i="13"/>
  <c r="J43" i="10" s="1"/>
  <c r="F4" i="13"/>
  <c r="J16" i="10" s="1"/>
  <c r="D28" i="12"/>
  <c r="C25" i="12"/>
  <c r="C28" i="12" s="1"/>
  <c r="B3" i="13" l="1"/>
  <c r="D3" i="13"/>
  <c r="B9" i="13"/>
  <c r="B11" i="13"/>
  <c r="B6" i="13"/>
  <c r="D6" i="13"/>
  <c r="B10" i="13"/>
  <c r="B8" i="13"/>
  <c r="D7" i="13"/>
  <c r="D8" i="13"/>
  <c r="D5" i="13"/>
  <c r="B7" i="13"/>
  <c r="B5" i="13"/>
  <c r="D9" i="13"/>
  <c r="D4" i="13"/>
  <c r="D10" i="13"/>
  <c r="F12" i="13"/>
  <c r="D11" i="13"/>
  <c r="E12" i="13"/>
  <c r="O16" i="10" l="1"/>
  <c r="P16" i="10"/>
  <c r="O7" i="10"/>
  <c r="P3" i="10"/>
  <c r="P2" i="10" s="1"/>
  <c r="P15" i="10" s="1"/>
  <c r="O3" i="10"/>
  <c r="O2" i="10" s="1"/>
  <c r="P26" i="10" l="1"/>
  <c r="P29" i="10" s="1"/>
  <c r="O15" i="10"/>
  <c r="O26" i="10" s="1"/>
  <c r="O29" i="10" s="1"/>
  <c r="B3" i="7" l="1"/>
  <c r="B4" i="7"/>
  <c r="B5" i="7"/>
  <c r="B6" i="7"/>
  <c r="B8" i="7"/>
  <c r="B9" i="7"/>
  <c r="B10" i="7"/>
  <c r="B11" i="7"/>
  <c r="B17" i="7"/>
  <c r="B18" i="7"/>
  <c r="B19" i="7"/>
  <c r="B20" i="7"/>
  <c r="B21" i="7"/>
  <c r="B22" i="7"/>
  <c r="B23" i="7"/>
  <c r="B28" i="7"/>
  <c r="B24" i="7"/>
  <c r="B25" i="7"/>
  <c r="B27" i="7"/>
  <c r="C3" i="7"/>
  <c r="C4" i="7"/>
  <c r="C5" i="7"/>
  <c r="C6" i="7"/>
  <c r="C8" i="7"/>
  <c r="C9" i="7"/>
  <c r="C10" i="7"/>
  <c r="C11" i="7"/>
  <c r="C17" i="7"/>
  <c r="C18" i="7"/>
  <c r="C19" i="7"/>
  <c r="C20" i="7"/>
  <c r="C21" i="7"/>
  <c r="C22" i="7"/>
  <c r="C23" i="7"/>
  <c r="C28" i="7"/>
  <c r="C24" i="7"/>
  <c r="C25" i="7"/>
  <c r="C27" i="7"/>
  <c r="D28" i="6"/>
  <c r="B16" i="6"/>
  <c r="D16" i="7" s="1"/>
  <c r="B7" i="6"/>
  <c r="D7" i="7" s="1"/>
  <c r="B2" i="6"/>
  <c r="D2" i="7" s="1"/>
  <c r="B16" i="5"/>
  <c r="C16" i="7" s="1"/>
  <c r="B7" i="5"/>
  <c r="B2" i="5"/>
  <c r="D14" i="5" l="1"/>
  <c r="D8" i="6"/>
  <c r="D13" i="5"/>
  <c r="D11" i="6"/>
  <c r="D10" i="5"/>
  <c r="D9" i="5"/>
  <c r="D12" i="5"/>
  <c r="D8" i="5"/>
  <c r="D14" i="6"/>
  <c r="D10" i="6"/>
  <c r="D4" i="6"/>
  <c r="D4" i="5"/>
  <c r="D28" i="5"/>
  <c r="D11" i="5"/>
  <c r="D12" i="6"/>
  <c r="D13" i="6"/>
  <c r="D9" i="6"/>
  <c r="B15" i="6"/>
  <c r="F23" i="7"/>
  <c r="G23" i="7" s="1"/>
  <c r="F6" i="7"/>
  <c r="C7" i="7"/>
  <c r="F17" i="7"/>
  <c r="C2" i="7"/>
  <c r="F10" i="7"/>
  <c r="F13" i="7"/>
  <c r="F12" i="7"/>
  <c r="F4" i="7"/>
  <c r="F21" i="7"/>
  <c r="G21" i="7" s="1"/>
  <c r="B2" i="7"/>
  <c r="B7" i="7"/>
  <c r="F18" i="7"/>
  <c r="G18" i="7" s="1"/>
  <c r="F3" i="7"/>
  <c r="F22" i="7"/>
  <c r="G22" i="7" s="1"/>
  <c r="F27" i="7"/>
  <c r="F11" i="7"/>
  <c r="F9" i="7"/>
  <c r="F5" i="7"/>
  <c r="F25" i="7"/>
  <c r="G25" i="7" s="1"/>
  <c r="F14" i="7"/>
  <c r="F8" i="7"/>
  <c r="F24" i="7"/>
  <c r="G24" i="7" s="1"/>
  <c r="F28" i="7"/>
  <c r="F20" i="7"/>
  <c r="G20" i="7" s="1"/>
  <c r="F19" i="7"/>
  <c r="G19" i="7" s="1"/>
  <c r="B15" i="5"/>
  <c r="B26" i="5" s="1"/>
  <c r="B29" i="5" s="1"/>
  <c r="B16" i="2"/>
  <c r="B7" i="2"/>
  <c r="G4" i="20" l="1"/>
  <c r="B6" i="20"/>
  <c r="G6" i="20" s="1"/>
  <c r="B26" i="6"/>
  <c r="B29" i="6" s="1"/>
  <c r="D15" i="7"/>
  <c r="D6" i="2"/>
  <c r="D5" i="2"/>
  <c r="D12" i="2"/>
  <c r="D4" i="2"/>
  <c r="D5" i="5"/>
  <c r="D10" i="2"/>
  <c r="D6" i="5"/>
  <c r="D9" i="2"/>
  <c r="D3" i="5"/>
  <c r="D7" i="6"/>
  <c r="D13" i="2"/>
  <c r="D11" i="2"/>
  <c r="D7" i="5"/>
  <c r="D3" i="6"/>
  <c r="D5" i="6"/>
  <c r="G14" i="7"/>
  <c r="G8" i="7"/>
  <c r="G4" i="7"/>
  <c r="G3" i="7"/>
  <c r="G26" i="7"/>
  <c r="G9" i="7"/>
  <c r="G13" i="7"/>
  <c r="G6" i="7"/>
  <c r="G11" i="7"/>
  <c r="G12" i="7"/>
  <c r="G10" i="7"/>
  <c r="G28" i="7"/>
  <c r="G17" i="7"/>
  <c r="D25" i="2"/>
  <c r="G5" i="7"/>
  <c r="D28" i="2"/>
  <c r="C15" i="7"/>
  <c r="C26" i="7" s="1"/>
  <c r="C29" i="7" s="1"/>
  <c r="F2" i="7"/>
  <c r="B15" i="2"/>
  <c r="B26" i="2" s="1"/>
  <c r="B29" i="2" s="1"/>
  <c r="B15" i="7"/>
  <c r="F7" i="7"/>
  <c r="B16" i="7"/>
  <c r="D8" i="2"/>
  <c r="D14" i="2"/>
  <c r="D26" i="7" l="1"/>
  <c r="D29" i="7" s="1"/>
  <c r="D2" i="2"/>
  <c r="D3" i="2"/>
  <c r="D7" i="2"/>
  <c r="D6" i="6"/>
  <c r="G7" i="7"/>
  <c r="G2" i="7"/>
  <c r="B26" i="7"/>
  <c r="B29" i="7" s="1"/>
  <c r="F15" i="7"/>
  <c r="F16" i="7"/>
  <c r="D2" i="5" l="1"/>
  <c r="D15" i="6"/>
  <c r="D2" i="6"/>
  <c r="G15" i="7"/>
  <c r="G16" i="7"/>
  <c r="D15" i="5"/>
  <c r="F26" i="7"/>
  <c r="F29" i="7" s="1"/>
  <c r="B15" i="12" l="1"/>
  <c r="G15" i="12" s="1"/>
  <c r="G27" i="7"/>
  <c r="B25" i="12" l="1"/>
  <c r="G25" i="12" s="1"/>
  <c r="G29" i="7"/>
  <c r="J13" i="10" l="1"/>
  <c r="J22" i="10" s="1"/>
  <c r="J31" i="10" s="1"/>
  <c r="B28" i="12"/>
  <c r="G28" i="12" s="1"/>
  <c r="J26" i="10" l="1"/>
  <c r="L22" i="10" s="1"/>
  <c r="L26" i="10" s="1"/>
  <c r="J40" i="10"/>
  <c r="J35" i="10"/>
  <c r="L31" i="10" s="1"/>
  <c r="L35" i="10" s="1"/>
  <c r="K14" i="12"/>
  <c r="K23" i="12" s="1"/>
  <c r="D25" i="5"/>
  <c r="J44" i="10" l="1"/>
  <c r="L40" i="10" s="1"/>
  <c r="K28" i="12"/>
  <c r="M23" i="12" s="1"/>
  <c r="K33" i="12"/>
  <c r="K18" i="12"/>
  <c r="D22" i="5"/>
  <c r="D23" i="5"/>
  <c r="D24" i="5"/>
  <c r="D21" i="5"/>
  <c r="D18" i="5"/>
  <c r="D20" i="5"/>
  <c r="D19" i="5"/>
  <c r="D17" i="5"/>
  <c r="L44" i="10" l="1"/>
  <c r="M14" i="12"/>
  <c r="K38" i="12"/>
  <c r="K43" i="12"/>
  <c r="M33" i="12" l="1"/>
  <c r="M38" i="12" s="1"/>
  <c r="M18" i="12"/>
  <c r="K48" i="12"/>
  <c r="K53" i="12"/>
  <c r="M28" i="12"/>
  <c r="D15" i="2"/>
  <c r="D16" i="5"/>
  <c r="K58" i="12" l="1"/>
  <c r="M53" i="12" s="1"/>
  <c r="M58" i="12" s="1"/>
  <c r="M43" i="12"/>
  <c r="M48" i="12" s="1"/>
  <c r="D26" i="5"/>
  <c r="D29" i="5" l="1"/>
  <c r="D24" i="2" l="1"/>
  <c r="D23" i="2"/>
  <c r="D18" i="2"/>
  <c r="D20" i="2"/>
  <c r="D19" i="2"/>
  <c r="D17" i="2"/>
  <c r="D21" i="2"/>
  <c r="D22" i="2"/>
  <c r="D16" i="2" l="1"/>
  <c r="D26" i="2" l="1"/>
  <c r="D29" i="2" l="1"/>
  <c r="D19" i="6" l="1"/>
  <c r="D17" i="6"/>
  <c r="D18" i="6"/>
  <c r="D22" i="6"/>
  <c r="D23" i="6"/>
  <c r="D21" i="6"/>
  <c r="D24" i="6"/>
  <c r="D25" i="6"/>
  <c r="D20" i="6" l="1"/>
  <c r="D16" i="6" l="1"/>
  <c r="D26" i="6" l="1"/>
  <c r="D29" i="6" l="1"/>
  <c r="N7" i="14" l="1"/>
  <c r="L22" i="15" l="1"/>
  <c r="L33" i="15" s="1"/>
  <c r="N32" i="15"/>
  <c r="J22" i="15"/>
  <c r="J33" i="15" s="1"/>
  <c r="K22" i="15"/>
  <c r="K33" i="15" s="1"/>
  <c r="H22" i="15"/>
  <c r="H33" i="15" s="1"/>
  <c r="I22" i="15"/>
  <c r="I33" i="15" s="1"/>
  <c r="D22" i="15"/>
  <c r="D33" i="15" s="1"/>
  <c r="E22" i="15"/>
  <c r="E33" i="15" s="1"/>
  <c r="F22" i="15"/>
  <c r="C22" i="15"/>
  <c r="C33" i="15" s="1"/>
  <c r="G22" i="15"/>
  <c r="G33" i="15" s="1"/>
  <c r="M22" i="15"/>
  <c r="M33" i="15" s="1"/>
  <c r="M34" i="15" s="1"/>
  <c r="S25" i="15" l="1"/>
  <c r="N22" i="15"/>
  <c r="N33" i="15" s="1"/>
  <c r="F33" i="15"/>
  <c r="S16" i="15" l="1"/>
  <c r="U25" i="15"/>
  <c r="U16" i="15" l="1"/>
  <c r="E8" i="15"/>
  <c r="E10" i="15" s="1"/>
  <c r="E34" i="15" s="1"/>
  <c r="K8" i="15"/>
  <c r="K10" i="15" s="1"/>
  <c r="K34" i="15" s="1"/>
  <c r="H8" i="15"/>
  <c r="H10" i="15" s="1"/>
  <c r="H34" i="15" s="1"/>
  <c r="C8" i="15"/>
  <c r="C10" i="15" s="1"/>
  <c r="C34" i="15" s="1"/>
  <c r="I8" i="15"/>
  <c r="I10" i="15" s="1"/>
  <c r="I34" i="15" s="1"/>
  <c r="G8" i="15"/>
  <c r="G10" i="15" s="1"/>
  <c r="G34" i="15" s="1"/>
  <c r="L8" i="15"/>
  <c r="L10" i="15" s="1"/>
  <c r="L34" i="15" s="1"/>
  <c r="F8" i="15"/>
  <c r="F10" i="15" s="1"/>
  <c r="F34" i="15" s="1"/>
  <c r="D8" i="15"/>
  <c r="D10" i="15" s="1"/>
  <c r="D34" i="15" s="1"/>
  <c r="J8" i="15"/>
  <c r="J10" i="15" s="1"/>
  <c r="J34" i="15" s="1"/>
  <c r="B8" i="15"/>
  <c r="B10" i="15" s="1"/>
  <c r="B34" i="15" s="1"/>
  <c r="N10" i="15" l="1"/>
  <c r="N34" i="15" s="1"/>
  <c r="N8" i="15"/>
  <c r="U6" i="15" l="1"/>
  <c r="S15" i="15" l="1"/>
  <c r="U2" i="15"/>
  <c r="U15" i="15" l="1"/>
  <c r="S26" i="15"/>
  <c r="S29" i="15" l="1"/>
  <c r="C51" i="15" s="1"/>
  <c r="U26" i="15"/>
  <c r="L8" i="10"/>
  <c r="C54" i="15" l="1"/>
  <c r="E51" i="15" s="1"/>
  <c r="E54" i="15" s="1"/>
  <c r="J17" i="10"/>
  <c r="L13" i="10" s="1"/>
  <c r="L17" i="10" l="1"/>
  <c r="S26" i="14" l="1"/>
  <c r="T26" i="14" s="1"/>
  <c r="T27" i="15"/>
  <c r="T29" i="15" s="1"/>
  <c r="N21" i="14"/>
  <c r="S28" i="14" l="1"/>
  <c r="T28" i="14" s="1"/>
  <c r="U29" i="15"/>
  <c r="U27" i="15"/>
</calcChain>
</file>

<file path=xl/sharedStrings.xml><?xml version="1.0" encoding="utf-8"?>
<sst xmlns="http://schemas.openxmlformats.org/spreadsheetml/2006/main" count="940" uniqueCount="151">
  <si>
    <t>Příjmy</t>
  </si>
  <si>
    <t>Mzdy</t>
  </si>
  <si>
    <t>Bonusy</t>
  </si>
  <si>
    <t>Dávky státní sociální podpory</t>
  </si>
  <si>
    <t>Úroky</t>
  </si>
  <si>
    <t>Fixní výdaje</t>
  </si>
  <si>
    <t>Leasing</t>
  </si>
  <si>
    <t>MHD</t>
  </si>
  <si>
    <t>Pojištění</t>
  </si>
  <si>
    <t>Nájem</t>
  </si>
  <si>
    <t>Variabilní výdaje</t>
  </si>
  <si>
    <t>Cigarety</t>
  </si>
  <si>
    <t>Pivo</t>
  </si>
  <si>
    <t>Benzín</t>
  </si>
  <si>
    <t>Kosmetika</t>
  </si>
  <si>
    <t>Elektřina</t>
  </si>
  <si>
    <t>Teplo</t>
  </si>
  <si>
    <t>Voda</t>
  </si>
  <si>
    <t>Drogerie</t>
  </si>
  <si>
    <t>Volný čas</t>
  </si>
  <si>
    <t xml:space="preserve">Jídlo </t>
  </si>
  <si>
    <t>Dítě</t>
  </si>
  <si>
    <t>Běžné peněžní toky</t>
  </si>
  <si>
    <t>Celkové peněžní toky</t>
  </si>
  <si>
    <t>Jídlo</t>
  </si>
  <si>
    <t>Investice</t>
  </si>
  <si>
    <t>I</t>
  </si>
  <si>
    <t>II</t>
  </si>
  <si>
    <t>IV</t>
  </si>
  <si>
    <t>Ostatní</t>
  </si>
  <si>
    <t>Celkem</t>
  </si>
  <si>
    <t>Peněžní toky po úhradě fixních výdajů</t>
  </si>
  <si>
    <t>Nedoplatky za energie</t>
  </si>
  <si>
    <t>Skutečnost</t>
  </si>
  <si>
    <t>Rozpočet</t>
  </si>
  <si>
    <t>Odchylka</t>
  </si>
  <si>
    <t>III</t>
  </si>
  <si>
    <t>Průměr</t>
  </si>
  <si>
    <t>Skutečné příjmy a výdaje</t>
  </si>
  <si>
    <t xml:space="preserve">Aktiva </t>
  </si>
  <si>
    <t>Pasiva</t>
  </si>
  <si>
    <t>Položka</t>
  </si>
  <si>
    <t>Částka</t>
  </si>
  <si>
    <t>Státní dluhopisy</t>
  </si>
  <si>
    <t>Stavební spoření</t>
  </si>
  <si>
    <t xml:space="preserve">Celkem </t>
  </si>
  <si>
    <t>Peněžní toky</t>
  </si>
  <si>
    <t>Krátkodobé závazky</t>
  </si>
  <si>
    <t>Dlouhodobé závazky</t>
  </si>
  <si>
    <t>Bankovní účty</t>
  </si>
  <si>
    <t>Jmění</t>
  </si>
  <si>
    <t>Plný úvazek</t>
  </si>
  <si>
    <t>Poloviční úvazek</t>
  </si>
  <si>
    <t>Rozpočtová rozvaha k 31.12.2023</t>
  </si>
  <si>
    <t>Rok</t>
  </si>
  <si>
    <t>PS</t>
  </si>
  <si>
    <t>Úložka</t>
  </si>
  <si>
    <t>Úrok</t>
  </si>
  <si>
    <t>Státní podpora</t>
  </si>
  <si>
    <t>Konečný stav</t>
  </si>
  <si>
    <t>a</t>
  </si>
  <si>
    <t>i</t>
  </si>
  <si>
    <t>Rozpočtová rozvaha k 31.12.2028</t>
  </si>
  <si>
    <t>Rozdíl</t>
  </si>
  <si>
    <t>Leden</t>
  </si>
  <si>
    <t>Únor</t>
  </si>
  <si>
    <t>Březen</t>
  </si>
  <si>
    <t>Duben</t>
  </si>
  <si>
    <t>Květen</t>
  </si>
  <si>
    <t>Červenec</t>
  </si>
  <si>
    <t>Srpen</t>
  </si>
  <si>
    <t>Září</t>
  </si>
  <si>
    <t>Říjen</t>
  </si>
  <si>
    <t>Listopad</t>
  </si>
  <si>
    <t>Prosinec</t>
  </si>
  <si>
    <t>Příjmy muž</t>
  </si>
  <si>
    <t>Příjmy žena</t>
  </si>
  <si>
    <t>Příjmy celkem</t>
  </si>
  <si>
    <t>Ostatní příjmy</t>
  </si>
  <si>
    <t>Výdaje můž</t>
  </si>
  <si>
    <t>Výdaje žena</t>
  </si>
  <si>
    <t>Společné výdaje</t>
  </si>
  <si>
    <t>Ostatní výdaje</t>
  </si>
  <si>
    <t>Celkové výdaje</t>
  </si>
  <si>
    <t>Červen</t>
  </si>
  <si>
    <t>Výsledovka za rok 2018</t>
  </si>
  <si>
    <t>Rozvaha k 1.1.2019</t>
  </si>
  <si>
    <t>Rozpočtová rozvaha k 31.12.2024</t>
  </si>
  <si>
    <t>KS</t>
  </si>
  <si>
    <t>V</t>
  </si>
  <si>
    <t>VI</t>
  </si>
  <si>
    <t>Rozpočtová rozvaha k 31.12.2026</t>
  </si>
  <si>
    <t>Rozpočtová rozvaha k 31.12.2025</t>
  </si>
  <si>
    <t>Rozpočtová rozvaha k 31.12.2027</t>
  </si>
  <si>
    <t>Termínovaný vklad</t>
  </si>
  <si>
    <t>Závazky</t>
  </si>
  <si>
    <t>Rozvaha k 31.12.2019</t>
  </si>
  <si>
    <t>Rozpočtová rozvaha k 31.12.2022</t>
  </si>
  <si>
    <t>Rozpočtová rozvaha k 31.12.2020</t>
  </si>
  <si>
    <t>Rozpočtová rozvaha k 31.12.2021</t>
  </si>
  <si>
    <t>Vlastní jmění</t>
  </si>
  <si>
    <t>Pořízení dlouhodobého majetku</t>
  </si>
  <si>
    <t>Nemovitost</t>
  </si>
  <si>
    <t>Hrubá mzda</t>
  </si>
  <si>
    <t>Čistá mzda</t>
  </si>
  <si>
    <t>Denní mateřská</t>
  </si>
  <si>
    <t>Počet dní</t>
  </si>
  <si>
    <t>Rodičovský příspěvek</t>
  </si>
  <si>
    <t>Od 2020</t>
  </si>
  <si>
    <t>Zvýšení rodičovské příspěvku od 2020</t>
  </si>
  <si>
    <t>Kontrola</t>
  </si>
  <si>
    <t>Počet měsíců čerpání rodičovské</t>
  </si>
  <si>
    <t>Stáří dítěte</t>
  </si>
  <si>
    <t>rodičovskou můžeme čerpat maximálně do 4 let dítěte</t>
  </si>
  <si>
    <t>Scénář 45 měsíců</t>
  </si>
  <si>
    <t>Scénář 24 měsíců</t>
  </si>
  <si>
    <t>Scénář 36 měsíců</t>
  </si>
  <si>
    <t>Peněžní toky při scénáři 24 měsíců</t>
  </si>
  <si>
    <t>Peněžní toky při scénáři 36 měsíců</t>
  </si>
  <si>
    <t>Peněžní toky při scénáři 45 měsíců</t>
  </si>
  <si>
    <t>Zůstatek na bankovním účtu</t>
  </si>
  <si>
    <t>Automobil</t>
  </si>
  <si>
    <t>Běžné výdaje</t>
  </si>
  <si>
    <t>https://www.penize.cz/materska-dovolena/402648-materska-2019-kalkulacka-penezite-pomoci-v-materstvi-a-prehled-pravidel#materska</t>
  </si>
  <si>
    <t>Rozvaha k 31.12.2018</t>
  </si>
  <si>
    <t>Dluhopisy I</t>
  </si>
  <si>
    <t>Dluhopisy II</t>
  </si>
  <si>
    <t>Měsíční mateřská</t>
  </si>
  <si>
    <t>Změna příjmů z mezd</t>
  </si>
  <si>
    <t>Změna příjmů z dávek</t>
  </si>
  <si>
    <t>Změna výdajů na dítě</t>
  </si>
  <si>
    <t>Hotovostní likvidita</t>
  </si>
  <si>
    <t>Hotovostní likvidita k průměrným výdajům</t>
  </si>
  <si>
    <t>DSTI</t>
  </si>
  <si>
    <t>Celková zadluženost</t>
  </si>
  <si>
    <t>Čisté pohotové prostředky</t>
  </si>
  <si>
    <t>Průměrné výdaje</t>
  </si>
  <si>
    <t>Průměrné příjmy</t>
  </si>
  <si>
    <t>Celkové závazky</t>
  </si>
  <si>
    <t>Poměr běžných peněžních toků k příjmům</t>
  </si>
  <si>
    <t>Poměr celkových peněžních toků k příjmům</t>
  </si>
  <si>
    <t>24 měsíců</t>
  </si>
  <si>
    <t>45 měsíců</t>
  </si>
  <si>
    <t>36 měsíců</t>
  </si>
  <si>
    <t>31. 12. 2020</t>
  </si>
  <si>
    <t>31. 12. 2019</t>
  </si>
  <si>
    <t>I. kvartál 2019</t>
  </si>
  <si>
    <t>I. čtvrtletí</t>
  </si>
  <si>
    <t>II. čtvrtletí</t>
  </si>
  <si>
    <t>III. čtvrtletí</t>
  </si>
  <si>
    <t>IV.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</si>
</sst>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-* #,##0.00\ _K_č_-;\-* #,##0.00\ _K_č_-;_-* &quot;-&quot;??\ _K_č_-;_-@_-"/>
    <numFmt numFmtId="166" formatCode="#,##0.0000"/>
    <numFmt numFmtId="167" formatCode="_-* #,##0.0000_-;\-* #,##0.0000_-;_-* &quot;-&quot;??_-;_-@_-"/>
    <numFmt numFmtId="168" formatCode="_-* #,##0.0000\ _K_č_-;\-* #,##0.0000\ _K_č_-;_-* &quot;-&quot;????\ _K_č_-;_-@_-"/>
    <numFmt numFmtId="169" formatCode="_-* #,##0.000_-;\-* #,##0.000_-;_-* &quot;-&quot;??_-;_-@_-"/>
    <numFmt numFmtId="170" formatCode="_-* #,##0.000\ _K_č_-;\-* #,##0.000\ _K_č_-;_-* &quot;-&quot;???\ _K_č_-;_-@_-"/>
    <numFmt numFmtId="171" formatCode="_-* #,##0.0_-;\-* #,##0.0_-;_-* &quot;-&quot;??_-;_-@_-"/>
    <numFmt numFmtId="172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8" xfId="0" applyNumberFormat="1" applyFont="1" applyBorder="1" applyAlignment="1"/>
    <xf numFmtId="164" fontId="0" fillId="0" borderId="0" xfId="0" applyNumberFormat="1"/>
    <xf numFmtId="0" fontId="0" fillId="0" borderId="10" xfId="0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0" fillId="0" borderId="0" xfId="0" applyNumberFormat="1"/>
    <xf numFmtId="43" fontId="0" fillId="0" borderId="0" xfId="1" applyFont="1"/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4" fillId="0" borderId="12" xfId="0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4" fillId="0" borderId="2" xfId="0" applyFont="1" applyBorder="1"/>
    <xf numFmtId="164" fontId="4" fillId="0" borderId="20" xfId="1" applyNumberFormat="1" applyFont="1" applyBorder="1"/>
    <xf numFmtId="164" fontId="4" fillId="0" borderId="21" xfId="1" applyNumberFormat="1" applyFont="1" applyBorder="1"/>
    <xf numFmtId="0" fontId="0" fillId="0" borderId="22" xfId="0" applyBorder="1"/>
    <xf numFmtId="164" fontId="0" fillId="0" borderId="0" xfId="1" applyNumberFormat="1" applyFont="1" applyBorder="1"/>
    <xf numFmtId="164" fontId="0" fillId="0" borderId="23" xfId="1" applyNumberFormat="1" applyFont="1" applyBorder="1"/>
    <xf numFmtId="0" fontId="4" fillId="0" borderId="22" xfId="0" applyFont="1" applyBorder="1"/>
    <xf numFmtId="164" fontId="4" fillId="0" borderId="0" xfId="1" applyNumberFormat="1" applyFont="1" applyBorder="1"/>
    <xf numFmtId="164" fontId="4" fillId="0" borderId="23" xfId="1" applyNumberFormat="1" applyFont="1" applyBorder="1"/>
    <xf numFmtId="164" fontId="0" fillId="0" borderId="23" xfId="0" applyNumberFormat="1" applyBorder="1"/>
    <xf numFmtId="0" fontId="5" fillId="0" borderId="0" xfId="0" applyFont="1" applyAlignment="1">
      <alignment horizontal="center"/>
    </xf>
    <xf numFmtId="164" fontId="0" fillId="0" borderId="1" xfId="0" applyNumberFormat="1" applyBorder="1"/>
    <xf numFmtId="0" fontId="0" fillId="0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8" fontId="0" fillId="0" borderId="0" xfId="0" applyNumberFormat="1" applyAlignment="1">
      <alignment horizontal="center"/>
    </xf>
    <xf numFmtId="0" fontId="10" fillId="0" borderId="0" xfId="2"/>
    <xf numFmtId="0" fontId="0" fillId="0" borderId="17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30" xfId="0" applyNumberFormat="1" applyBorder="1"/>
    <xf numFmtId="0" fontId="0" fillId="0" borderId="29" xfId="0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0" fillId="0" borderId="6" xfId="0" applyNumberFormat="1" applyBorder="1"/>
    <xf numFmtId="0" fontId="0" fillId="0" borderId="32" xfId="0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 inden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64" fontId="5" fillId="0" borderId="1" xfId="0" applyNumberFormat="1" applyFont="1" applyBorder="1"/>
    <xf numFmtId="43" fontId="5" fillId="0" borderId="0" xfId="1" applyFont="1"/>
    <xf numFmtId="165" fontId="5" fillId="0" borderId="0" xfId="0" applyNumberFormat="1" applyFont="1"/>
    <xf numFmtId="164" fontId="5" fillId="0" borderId="0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6" fillId="0" borderId="2" xfId="0" applyFont="1" applyBorder="1"/>
    <xf numFmtId="164" fontId="6" fillId="0" borderId="20" xfId="1" applyNumberFormat="1" applyFont="1" applyBorder="1"/>
    <xf numFmtId="167" fontId="6" fillId="0" borderId="21" xfId="1" applyNumberFormat="1" applyFont="1" applyBorder="1"/>
    <xf numFmtId="0" fontId="5" fillId="0" borderId="22" xfId="0" applyFont="1" applyBorder="1"/>
    <xf numFmtId="164" fontId="5" fillId="0" borderId="0" xfId="1" applyNumberFormat="1" applyFont="1" applyBorder="1"/>
    <xf numFmtId="167" fontId="5" fillId="0" borderId="23" xfId="1" applyNumberFormat="1" applyFont="1" applyBorder="1"/>
    <xf numFmtId="0" fontId="6" fillId="0" borderId="22" xfId="0" applyFont="1" applyBorder="1"/>
    <xf numFmtId="164" fontId="6" fillId="0" borderId="0" xfId="1" applyNumberFormat="1" applyFont="1" applyBorder="1"/>
    <xf numFmtId="167" fontId="6" fillId="0" borderId="23" xfId="1" applyNumberFormat="1" applyFont="1" applyBorder="1"/>
    <xf numFmtId="0" fontId="5" fillId="0" borderId="22" xfId="0" applyFont="1" applyFill="1" applyBorder="1"/>
    <xf numFmtId="167" fontId="5" fillId="0" borderId="23" xfId="0" applyNumberFormat="1" applyFont="1" applyBorder="1"/>
    <xf numFmtId="0" fontId="5" fillId="0" borderId="24" xfId="0" applyFont="1" applyBorder="1"/>
    <xf numFmtId="167" fontId="5" fillId="0" borderId="25" xfId="1" applyNumberFormat="1" applyFont="1" applyBorder="1"/>
    <xf numFmtId="0" fontId="6" fillId="0" borderId="12" xfId="0" applyFont="1" applyBorder="1"/>
    <xf numFmtId="164" fontId="6" fillId="0" borderId="13" xfId="1" applyNumberFormat="1" applyFont="1" applyBorder="1"/>
    <xf numFmtId="167" fontId="6" fillId="0" borderId="14" xfId="1" applyNumberFormat="1" applyFont="1" applyBorder="1"/>
    <xf numFmtId="164" fontId="6" fillId="0" borderId="13" xfId="0" applyNumberFormat="1" applyFont="1" applyBorder="1"/>
    <xf numFmtId="167" fontId="6" fillId="0" borderId="14" xfId="0" applyNumberFormat="1" applyFont="1" applyBorder="1"/>
    <xf numFmtId="166" fontId="5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2" fontId="6" fillId="0" borderId="1" xfId="1" applyNumberFormat="1" applyFont="1" applyBorder="1" applyAlignment="1">
      <alignment horizontal="right"/>
    </xf>
    <xf numFmtId="172" fontId="5" fillId="0" borderId="1" xfId="1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6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</cellXfs>
  <cellStyles count="3">
    <cellStyle name="Čárka" xfId="1" builtinId="3"/>
    <cellStyle name="Hypertextový odkaz" xfId="2" builtinId="8"/>
    <cellStyle name="Normální" xfId="0" builtinId="0"/>
  </cellStyles>
  <dxfs count="3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Porovnání vývoje</a:t>
            </a:r>
            <a:r>
              <a:rPr lang="cs-CZ" baseline="0"/>
              <a:t> stavu bankovního účtu v jednotlivých scénářích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'Srovnání scénářů'!$A$2</c:f>
              <c:strCache>
                <c:ptCount val="1"/>
                <c:pt idx="0">
                  <c:v>Scénář 45 měsíců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'Srovnání scénářů'!$B$1:$L$1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'Srovnání scénářů'!$B$2:$L$2</c:f>
              <c:numCache>
                <c:formatCode>_-* #\ ##0_-;\-* #\ ##0_-;_-* "-"??_-;_-@_-</c:formatCode>
                <c:ptCount val="11"/>
                <c:pt idx="0">
                  <c:v>203006</c:v>
                </c:pt>
                <c:pt idx="1">
                  <c:v>209985.89090540074</c:v>
                </c:pt>
                <c:pt idx="2">
                  <c:v>187099.94218745199</c:v>
                </c:pt>
                <c:pt idx="3">
                  <c:v>164613.99346950324</c:v>
                </c:pt>
                <c:pt idx="4">
                  <c:v>142028.04475155449</c:v>
                </c:pt>
                <c:pt idx="5">
                  <c:v>132445.55757206737</c:v>
                </c:pt>
                <c:pt idx="6">
                  <c:v>337040.55757206737</c:v>
                </c:pt>
                <c:pt idx="7">
                  <c:v>189192.55757206737</c:v>
                </c:pt>
                <c:pt idx="8">
                  <c:v>287644.55757206737</c:v>
                </c:pt>
                <c:pt idx="9">
                  <c:v>386596.55757206737</c:v>
                </c:pt>
                <c:pt idx="10">
                  <c:v>1049041.5575720672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E-492C-B1BE-313412634B58}"/>
            </c:ext>
          </c:extLst>
        </c:ser>
        <c:ser>
          <c:idx val="1"/>
          <c:order val="1"/>
          <c:tx>
            <c:strRef>
              <c:f>'Srovnání scénářů'!$A$3</c:f>
              <c:strCache>
                <c:ptCount val="1"/>
                <c:pt idx="0">
                  <c:v>Scénář 36 měsíců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'Srovnání scénářů'!$B$1:$L$1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'Srovnání scénářů'!$B$3:$L$3</c:f>
              <c:numCache>
                <c:formatCode>_-* #\ ##0_-;\-* #\ ##0_-;_-* "-"??_-;_-@_-</c:formatCode>
                <c:ptCount val="11"/>
                <c:pt idx="0">
                  <c:v>203006</c:v>
                </c:pt>
                <c:pt idx="1">
                  <c:v>217319.33333333299</c:v>
                </c:pt>
                <c:pt idx="2">
                  <c:v>216484.66666666628</c:v>
                </c:pt>
                <c:pt idx="3">
                  <c:v>216049.99999999959</c:v>
                </c:pt>
                <c:pt idx="4">
                  <c:v>177848.66666666622</c:v>
                </c:pt>
                <c:pt idx="5">
                  <c:v>154445.66666666628</c:v>
                </c:pt>
                <c:pt idx="6">
                  <c:v>359040.66666666628</c:v>
                </c:pt>
                <c:pt idx="7">
                  <c:v>211192.66666666628</c:v>
                </c:pt>
                <c:pt idx="8">
                  <c:v>309644.66666666628</c:v>
                </c:pt>
                <c:pt idx="9">
                  <c:v>408596.66666666628</c:v>
                </c:pt>
                <c:pt idx="10">
                  <c:v>1071041.6666666663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E-492C-B1BE-313412634B58}"/>
            </c:ext>
          </c:extLst>
        </c:ser>
        <c:ser>
          <c:idx val="2"/>
          <c:order val="2"/>
          <c:tx>
            <c:strRef>
              <c:f>'Srovnání scénářů'!$A$4</c:f>
              <c:strCache>
                <c:ptCount val="1"/>
                <c:pt idx="0">
                  <c:v>Scénář 24 měsíců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'Srovnání scénářů'!$B$1:$L$1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'Srovnání scénářů'!$B$4:$L$4</c:f>
              <c:numCache>
                <c:formatCode>_-* #\ ##0_-;\-* #\ ##0_-;_-* "-"??_-;_-@_-</c:formatCode>
                <c:ptCount val="11"/>
                <c:pt idx="0">
                  <c:v>203006</c:v>
                </c:pt>
                <c:pt idx="1">
                  <c:v>235652.66666666666</c:v>
                </c:pt>
                <c:pt idx="2">
                  <c:v>292818</c:v>
                </c:pt>
                <c:pt idx="3">
                  <c:v>268716.66666666663</c:v>
                </c:pt>
                <c:pt idx="4">
                  <c:v>174848.6666666666</c:v>
                </c:pt>
                <c:pt idx="5">
                  <c:v>151445.66666666666</c:v>
                </c:pt>
                <c:pt idx="6">
                  <c:v>356040.66666666663</c:v>
                </c:pt>
                <c:pt idx="7">
                  <c:v>208192.66666666663</c:v>
                </c:pt>
                <c:pt idx="8">
                  <c:v>306644.66666666663</c:v>
                </c:pt>
                <c:pt idx="9">
                  <c:v>405596.66666666663</c:v>
                </c:pt>
                <c:pt idx="10">
                  <c:v>1068041.6666666665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5E-492C-B1BE-31341263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151896"/>
        <c:axId val="456152224"/>
      </c:lineChart>
      <c:catAx>
        <c:axId val="45615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6152224"/>
        <c:crosses val="autoZero"/>
        <c:auto val="1"/>
        <c:lblAlgn val="ctr"/>
        <c:lblOffset val="100"/>
        <c:noMultiLvlLbl val="0"/>
      </c:catAx>
      <c:valAx>
        <c:axId val="456152224"/>
        <c:scaling>
          <c:orientation val="minMax"/>
          <c:max val="1100000"/>
          <c:min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615189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85632</xdr:rowOff>
    </xdr:from>
    <xdr:to>
      <xdr:col>6</xdr:col>
      <xdr:colOff>335589</xdr:colOff>
      <xdr:row>28</xdr:row>
      <xdr:rowOff>75179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EDB75A1-D5ED-47F2-A843-B4D3BBDB4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penize.cz/materska-dovolena/402648-materska-2019-kalkulacka-penezite-pomoci-v-materstvi-a-prehled-pravide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35A7-EAFA-439F-B514-1557D8A21D42}">
  <dimension ref="A1:V53"/>
  <sheetViews>
    <sheetView topLeftCell="A30" zoomScaleNormal="100" workbookViewId="0">
      <selection sqref="A1:XFD32"/>
    </sheetView>
  </sheetViews>
  <sheetFormatPr defaultRowHeight="15" x14ac:dyDescent="0.25"/>
  <cols>
    <col min="1" max="4" width="20.7109375" customWidth="1"/>
    <col min="5" max="13" width="10.42578125" bestFit="1" customWidth="1"/>
    <col min="14" max="14" width="11.42578125" bestFit="1" customWidth="1"/>
    <col min="18" max="18" width="37" bestFit="1" customWidth="1"/>
    <col min="19" max="19" width="12.7109375" bestFit="1" customWidth="1"/>
    <col min="20" max="20" width="9.28515625" bestFit="1" customWidth="1"/>
  </cols>
  <sheetData>
    <row r="1" spans="1:20" ht="15.75" thickBot="1" x14ac:dyDescent="0.3">
      <c r="A1" s="59"/>
      <c r="B1" s="60" t="s">
        <v>64</v>
      </c>
      <c r="C1" s="60" t="s">
        <v>65</v>
      </c>
      <c r="D1" s="60" t="s">
        <v>66</v>
      </c>
      <c r="E1" s="60" t="s">
        <v>67</v>
      </c>
      <c r="F1" s="60" t="s">
        <v>68</v>
      </c>
      <c r="G1" s="60" t="s">
        <v>84</v>
      </c>
      <c r="H1" s="60" t="s">
        <v>69</v>
      </c>
      <c r="I1" s="60" t="s">
        <v>70</v>
      </c>
      <c r="J1" s="60" t="s">
        <v>71</v>
      </c>
      <c r="K1" s="60" t="s">
        <v>72</v>
      </c>
      <c r="L1" s="60" t="s">
        <v>73</v>
      </c>
      <c r="M1" s="60" t="s">
        <v>74</v>
      </c>
      <c r="N1" s="61" t="s">
        <v>30</v>
      </c>
      <c r="P1" s="43"/>
      <c r="Q1" s="43"/>
      <c r="R1" s="77" t="s">
        <v>85</v>
      </c>
      <c r="S1" s="77" t="s">
        <v>30</v>
      </c>
      <c r="T1" s="120" t="s">
        <v>37</v>
      </c>
    </row>
    <row r="2" spans="1:20" x14ac:dyDescent="0.25">
      <c r="A2" s="33" t="s">
        <v>75</v>
      </c>
      <c r="B2" s="34">
        <f>B3+B4</f>
        <v>33000</v>
      </c>
      <c r="C2" s="34">
        <f t="shared" ref="C2:M2" si="0">C3+C4</f>
        <v>33000</v>
      </c>
      <c r="D2" s="34">
        <f t="shared" si="0"/>
        <v>33000</v>
      </c>
      <c r="E2" s="34">
        <f t="shared" si="0"/>
        <v>33000</v>
      </c>
      <c r="F2" s="34">
        <f t="shared" si="0"/>
        <v>33000</v>
      </c>
      <c r="G2" s="34">
        <f t="shared" si="0"/>
        <v>33000</v>
      </c>
      <c r="H2" s="34">
        <f t="shared" si="0"/>
        <v>33000</v>
      </c>
      <c r="I2" s="34">
        <f t="shared" si="0"/>
        <v>33000</v>
      </c>
      <c r="J2" s="34">
        <f t="shared" si="0"/>
        <v>33000</v>
      </c>
      <c r="K2" s="34">
        <f t="shared" si="0"/>
        <v>33000</v>
      </c>
      <c r="L2" s="34">
        <f t="shared" si="0"/>
        <v>33000</v>
      </c>
      <c r="M2" s="34">
        <f t="shared" si="0"/>
        <v>47000</v>
      </c>
      <c r="N2" s="35">
        <f t="shared" ref="N2:N9" si="1">SUM(B2:M2)</f>
        <v>410000</v>
      </c>
      <c r="P2" s="43"/>
      <c r="Q2" s="43"/>
      <c r="R2" s="80" t="s">
        <v>0</v>
      </c>
      <c r="S2" s="121">
        <f>SUM(S3:S6)</f>
        <v>759976.09274999995</v>
      </c>
      <c r="T2" s="83">
        <f>S2/12</f>
        <v>63331.341062499996</v>
      </c>
    </row>
    <row r="3" spans="1:20" x14ac:dyDescent="0.25">
      <c r="A3" s="36" t="s">
        <v>1</v>
      </c>
      <c r="B3" s="37">
        <v>33000</v>
      </c>
      <c r="C3" s="37">
        <v>33000</v>
      </c>
      <c r="D3" s="37">
        <v>33000</v>
      </c>
      <c r="E3" s="37">
        <v>33000</v>
      </c>
      <c r="F3" s="37">
        <v>33000</v>
      </c>
      <c r="G3" s="37">
        <v>33000</v>
      </c>
      <c r="H3" s="37">
        <v>33000</v>
      </c>
      <c r="I3" s="37">
        <v>33000</v>
      </c>
      <c r="J3" s="37">
        <v>33000</v>
      </c>
      <c r="K3" s="37">
        <v>33000</v>
      </c>
      <c r="L3" s="37">
        <v>33000</v>
      </c>
      <c r="M3" s="37">
        <v>33000</v>
      </c>
      <c r="N3" s="38">
        <f t="shared" si="1"/>
        <v>396000</v>
      </c>
      <c r="P3" s="43"/>
      <c r="Q3" s="43"/>
      <c r="R3" s="80" t="s">
        <v>1</v>
      </c>
      <c r="S3" s="121">
        <f>N3+N6</f>
        <v>745020</v>
      </c>
      <c r="T3" s="83">
        <f t="shared" ref="T3:T23" si="2">S3/12</f>
        <v>62085</v>
      </c>
    </row>
    <row r="4" spans="1:20" x14ac:dyDescent="0.25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>
        <v>14000</v>
      </c>
      <c r="N4" s="38">
        <f t="shared" si="1"/>
        <v>14000</v>
      </c>
      <c r="P4" s="43"/>
      <c r="Q4" s="43"/>
      <c r="R4" s="80" t="s">
        <v>2</v>
      </c>
      <c r="S4" s="121">
        <f>N4</f>
        <v>14000</v>
      </c>
      <c r="T4" s="83">
        <f t="shared" si="2"/>
        <v>1166.6666666666667</v>
      </c>
    </row>
    <row r="5" spans="1:20" x14ac:dyDescent="0.25">
      <c r="A5" s="39" t="s">
        <v>76</v>
      </c>
      <c r="B5" s="40">
        <f>B6</f>
        <v>29085</v>
      </c>
      <c r="C5" s="40">
        <f t="shared" ref="C5:M5" si="3">C6</f>
        <v>29085</v>
      </c>
      <c r="D5" s="40">
        <f t="shared" si="3"/>
        <v>29085</v>
      </c>
      <c r="E5" s="40">
        <f t="shared" si="3"/>
        <v>29085</v>
      </c>
      <c r="F5" s="40">
        <f t="shared" si="3"/>
        <v>29085</v>
      </c>
      <c r="G5" s="40">
        <f t="shared" si="3"/>
        <v>29085</v>
      </c>
      <c r="H5" s="40">
        <f t="shared" si="3"/>
        <v>29085</v>
      </c>
      <c r="I5" s="40">
        <f t="shared" si="3"/>
        <v>29085</v>
      </c>
      <c r="J5" s="40">
        <f t="shared" si="3"/>
        <v>29085</v>
      </c>
      <c r="K5" s="40">
        <f t="shared" si="3"/>
        <v>29085</v>
      </c>
      <c r="L5" s="40">
        <f t="shared" si="3"/>
        <v>29085</v>
      </c>
      <c r="M5" s="40">
        <f t="shared" si="3"/>
        <v>29085</v>
      </c>
      <c r="N5" s="41">
        <f t="shared" si="1"/>
        <v>349020</v>
      </c>
      <c r="P5" s="43"/>
      <c r="Q5" s="43"/>
      <c r="R5" s="80" t="s">
        <v>3</v>
      </c>
      <c r="S5" s="121">
        <v>0</v>
      </c>
      <c r="T5" s="83">
        <f t="shared" si="2"/>
        <v>0</v>
      </c>
    </row>
    <row r="6" spans="1:20" x14ac:dyDescent="0.25">
      <c r="A6" s="36" t="s">
        <v>1</v>
      </c>
      <c r="B6" s="37">
        <v>29085</v>
      </c>
      <c r="C6" s="37">
        <v>29085</v>
      </c>
      <c r="D6" s="37">
        <v>29085</v>
      </c>
      <c r="E6" s="37">
        <v>29085</v>
      </c>
      <c r="F6" s="37">
        <v>29085</v>
      </c>
      <c r="G6" s="37">
        <v>29085</v>
      </c>
      <c r="H6" s="37">
        <v>29085</v>
      </c>
      <c r="I6" s="37">
        <v>29085</v>
      </c>
      <c r="J6" s="37">
        <v>29085</v>
      </c>
      <c r="K6" s="37">
        <v>29085</v>
      </c>
      <c r="L6" s="37">
        <v>29085</v>
      </c>
      <c r="M6" s="37">
        <v>29085</v>
      </c>
      <c r="N6" s="38">
        <f t="shared" si="1"/>
        <v>349020</v>
      </c>
      <c r="P6" s="43"/>
      <c r="Q6" s="43"/>
      <c r="R6" s="80" t="s">
        <v>4</v>
      </c>
      <c r="S6" s="121">
        <f>N8</f>
        <v>956.09274999999991</v>
      </c>
      <c r="T6" s="83">
        <f t="shared" si="2"/>
        <v>79.674395833333321</v>
      </c>
    </row>
    <row r="7" spans="1:20" x14ac:dyDescent="0.25">
      <c r="A7" s="39" t="s">
        <v>78</v>
      </c>
      <c r="B7" s="40">
        <f>B8</f>
        <v>12.538349999999999</v>
      </c>
      <c r="C7" s="40">
        <f t="shared" ref="C7:M7" si="4">C8</f>
        <v>29.553649999999998</v>
      </c>
      <c r="D7" s="40">
        <f t="shared" si="4"/>
        <v>46.297799999999995</v>
      </c>
      <c r="E7" s="40">
        <f t="shared" si="4"/>
        <v>63.511149999999994</v>
      </c>
      <c r="F7" s="40">
        <f t="shared" si="4"/>
        <v>80.533249999999995</v>
      </c>
      <c r="G7" s="40">
        <f t="shared" si="4"/>
        <v>62.359399999999994</v>
      </c>
      <c r="H7" s="40">
        <f t="shared" si="4"/>
        <v>79.646699999999996</v>
      </c>
      <c r="I7" s="40">
        <f t="shared" si="4"/>
        <v>97.117599999999996</v>
      </c>
      <c r="J7" s="40">
        <f t="shared" si="4"/>
        <v>113.86515</v>
      </c>
      <c r="K7" s="40">
        <f t="shared" si="4"/>
        <v>130.50645</v>
      </c>
      <c r="L7" s="40">
        <f t="shared" si="4"/>
        <v>106.56704999999999</v>
      </c>
      <c r="M7" s="40">
        <f t="shared" si="4"/>
        <v>133.59619999999998</v>
      </c>
      <c r="N7" s="41">
        <f t="shared" si="1"/>
        <v>956.09274999999991</v>
      </c>
      <c r="P7" s="43"/>
      <c r="Q7" s="43"/>
      <c r="R7" s="80" t="s">
        <v>5</v>
      </c>
      <c r="S7" s="121">
        <f>SUM(S8:S14)</f>
        <v>-270800</v>
      </c>
      <c r="T7" s="83">
        <f t="shared" si="2"/>
        <v>-22566.666666666668</v>
      </c>
    </row>
    <row r="8" spans="1:20" ht="15.75" thickBot="1" x14ac:dyDescent="0.3">
      <c r="A8" s="36" t="s">
        <v>4</v>
      </c>
      <c r="B8" s="37">
        <v>12.538349999999999</v>
      </c>
      <c r="C8" s="37">
        <v>29.553649999999998</v>
      </c>
      <c r="D8" s="37">
        <v>46.297799999999995</v>
      </c>
      <c r="E8" s="37">
        <v>63.511149999999994</v>
      </c>
      <c r="F8" s="37">
        <v>80.533249999999995</v>
      </c>
      <c r="G8" s="37">
        <v>62.359399999999994</v>
      </c>
      <c r="H8" s="37">
        <v>79.646699999999996</v>
      </c>
      <c r="I8" s="37">
        <v>97.117599999999996</v>
      </c>
      <c r="J8" s="37">
        <v>113.86515</v>
      </c>
      <c r="K8" s="37">
        <v>130.50645</v>
      </c>
      <c r="L8" s="37">
        <v>106.56704999999999</v>
      </c>
      <c r="M8" s="37">
        <v>133.59619999999998</v>
      </c>
      <c r="N8" s="38">
        <f t="shared" si="1"/>
        <v>956.09274999999991</v>
      </c>
      <c r="P8" s="43"/>
      <c r="Q8" s="43"/>
      <c r="R8" s="77" t="s">
        <v>6</v>
      </c>
      <c r="S8" s="122">
        <f>N14</f>
        <v>-72000</v>
      </c>
      <c r="T8" s="83">
        <f t="shared" si="2"/>
        <v>-6000</v>
      </c>
    </row>
    <row r="9" spans="1:20" ht="15.75" thickBot="1" x14ac:dyDescent="0.3">
      <c r="A9" s="28" t="s">
        <v>77</v>
      </c>
      <c r="B9" s="29">
        <f>B2+B5+B7</f>
        <v>62097.538350000003</v>
      </c>
      <c r="C9" s="29">
        <f t="shared" ref="C9:M9" si="5">C2+C5+C7</f>
        <v>62114.553650000002</v>
      </c>
      <c r="D9" s="29">
        <f t="shared" si="5"/>
        <v>62131.2978</v>
      </c>
      <c r="E9" s="29">
        <f t="shared" si="5"/>
        <v>62148.511149999998</v>
      </c>
      <c r="F9" s="29">
        <f t="shared" si="5"/>
        <v>62165.53325</v>
      </c>
      <c r="G9" s="29">
        <f t="shared" si="5"/>
        <v>62147.359400000001</v>
      </c>
      <c r="H9" s="29">
        <f t="shared" si="5"/>
        <v>62164.646699999998</v>
      </c>
      <c r="I9" s="29">
        <f t="shared" si="5"/>
        <v>62182.117599999998</v>
      </c>
      <c r="J9" s="29">
        <f t="shared" si="5"/>
        <v>62198.865149999998</v>
      </c>
      <c r="K9" s="29">
        <f t="shared" si="5"/>
        <v>62215.506450000001</v>
      </c>
      <c r="L9" s="29">
        <f t="shared" si="5"/>
        <v>62191.567049999998</v>
      </c>
      <c r="M9" s="29">
        <f t="shared" si="5"/>
        <v>76218.5962</v>
      </c>
      <c r="N9" s="30">
        <f t="shared" si="1"/>
        <v>759976.09274999995</v>
      </c>
      <c r="P9" s="43"/>
      <c r="Q9" s="43"/>
      <c r="R9" s="77" t="s">
        <v>7</v>
      </c>
      <c r="S9" s="122">
        <f>N16+N20</f>
        <v>-7300</v>
      </c>
      <c r="T9" s="83">
        <f t="shared" si="2"/>
        <v>-608.33333333333337</v>
      </c>
    </row>
    <row r="10" spans="1:20" x14ac:dyDescent="0.25">
      <c r="A10" s="39" t="s">
        <v>79</v>
      </c>
      <c r="B10" s="40">
        <f>SUM(B11:B16)</f>
        <v>-14745</v>
      </c>
      <c r="C10" s="40">
        <f t="shared" ref="C10:M10" si="6">SUM(C11:C16)</f>
        <v>-10988</v>
      </c>
      <c r="D10" s="40">
        <f t="shared" si="6"/>
        <v>-11095</v>
      </c>
      <c r="E10" s="40">
        <f t="shared" si="6"/>
        <v>-11085</v>
      </c>
      <c r="F10" s="40">
        <f t="shared" si="6"/>
        <v>-11083</v>
      </c>
      <c r="G10" s="40">
        <f t="shared" si="6"/>
        <v>-11024</v>
      </c>
      <c r="H10" s="40">
        <f t="shared" si="6"/>
        <v>-10899</v>
      </c>
      <c r="I10" s="40">
        <f t="shared" si="6"/>
        <v>-11008</v>
      </c>
      <c r="J10" s="40">
        <f t="shared" si="6"/>
        <v>-11175</v>
      </c>
      <c r="K10" s="40">
        <f t="shared" si="6"/>
        <v>-11118</v>
      </c>
      <c r="L10" s="40">
        <f t="shared" si="6"/>
        <v>-11194</v>
      </c>
      <c r="M10" s="40">
        <f t="shared" si="6"/>
        <v>-11870</v>
      </c>
      <c r="N10" s="41">
        <f>SUM(N11:N16)</f>
        <v>-137284</v>
      </c>
      <c r="P10" s="43"/>
      <c r="Q10" s="43"/>
      <c r="R10" s="77" t="s">
        <v>8</v>
      </c>
      <c r="S10" s="122">
        <f>N15</f>
        <v>-6000</v>
      </c>
      <c r="T10" s="83">
        <f t="shared" si="2"/>
        <v>-500</v>
      </c>
    </row>
    <row r="11" spans="1:20" x14ac:dyDescent="0.25">
      <c r="A11" s="36" t="s">
        <v>11</v>
      </c>
      <c r="B11" s="37">
        <v>-1779</v>
      </c>
      <c r="C11" s="37">
        <v>-1678</v>
      </c>
      <c r="D11" s="37">
        <v>-1785</v>
      </c>
      <c r="E11" s="37">
        <v>-1749</v>
      </c>
      <c r="F11" s="37">
        <v>-1789</v>
      </c>
      <c r="G11" s="37">
        <v>-1689</v>
      </c>
      <c r="H11" s="37">
        <v>-1542</v>
      </c>
      <c r="I11" s="37">
        <v>-1661</v>
      </c>
      <c r="J11" s="37">
        <v>-1898</v>
      </c>
      <c r="K11" s="37">
        <v>-1789</v>
      </c>
      <c r="L11" s="37">
        <v>-1859</v>
      </c>
      <c r="M11" s="37">
        <v>-2130</v>
      </c>
      <c r="N11" s="38">
        <f t="shared" ref="N11:N29" si="7">SUM(B11:M11)</f>
        <v>-21348</v>
      </c>
      <c r="P11" s="43"/>
      <c r="Q11" s="43"/>
      <c r="R11" s="77" t="s">
        <v>9</v>
      </c>
      <c r="S11" s="122">
        <f>N26</f>
        <v>-120000</v>
      </c>
      <c r="T11" s="83">
        <f t="shared" si="2"/>
        <v>-10000</v>
      </c>
    </row>
    <row r="12" spans="1:20" x14ac:dyDescent="0.25">
      <c r="A12" s="36" t="s">
        <v>12</v>
      </c>
      <c r="B12" s="37">
        <v>-751</v>
      </c>
      <c r="C12" s="37">
        <v>-760</v>
      </c>
      <c r="D12" s="37">
        <v>-753</v>
      </c>
      <c r="E12" s="37">
        <v>-781</v>
      </c>
      <c r="F12" s="37">
        <v>-720</v>
      </c>
      <c r="G12" s="37">
        <v>-780</v>
      </c>
      <c r="H12" s="37">
        <v>-779</v>
      </c>
      <c r="I12" s="37">
        <v>-765</v>
      </c>
      <c r="J12" s="37">
        <v>-727</v>
      </c>
      <c r="K12" s="37">
        <v>-776</v>
      </c>
      <c r="L12" s="37">
        <v>-776</v>
      </c>
      <c r="M12" s="37">
        <v>-830</v>
      </c>
      <c r="N12" s="38">
        <f t="shared" si="7"/>
        <v>-9198</v>
      </c>
      <c r="P12" s="43"/>
      <c r="Q12" s="43"/>
      <c r="R12" s="77" t="s">
        <v>15</v>
      </c>
      <c r="S12" s="122">
        <f>N27</f>
        <v>-28800</v>
      </c>
      <c r="T12" s="84">
        <f t="shared" si="2"/>
        <v>-2400</v>
      </c>
    </row>
    <row r="13" spans="1:20" x14ac:dyDescent="0.25">
      <c r="A13" s="36" t="s">
        <v>13</v>
      </c>
      <c r="B13" s="37">
        <v>-2065</v>
      </c>
      <c r="C13" s="37">
        <v>-2050</v>
      </c>
      <c r="D13" s="37">
        <v>-2057</v>
      </c>
      <c r="E13" s="37">
        <v>-2055</v>
      </c>
      <c r="F13" s="37">
        <v>-2074</v>
      </c>
      <c r="G13" s="37">
        <v>-2055</v>
      </c>
      <c r="H13" s="37">
        <v>-2078</v>
      </c>
      <c r="I13" s="37">
        <v>-2082</v>
      </c>
      <c r="J13" s="37">
        <v>-2050</v>
      </c>
      <c r="K13" s="37">
        <v>-2053</v>
      </c>
      <c r="L13" s="37">
        <v>-2059</v>
      </c>
      <c r="M13" s="37">
        <v>-2410</v>
      </c>
      <c r="N13" s="38">
        <f t="shared" si="7"/>
        <v>-25088</v>
      </c>
      <c r="P13" s="43"/>
      <c r="Q13" s="43"/>
      <c r="R13" s="77" t="s">
        <v>16</v>
      </c>
      <c r="S13" s="122">
        <f>N28</f>
        <v>-17500</v>
      </c>
      <c r="T13" s="84">
        <f t="shared" si="2"/>
        <v>-1458.3333333333333</v>
      </c>
    </row>
    <row r="14" spans="1:20" x14ac:dyDescent="0.25">
      <c r="A14" s="36" t="s">
        <v>6</v>
      </c>
      <c r="B14" s="37">
        <v>-6000</v>
      </c>
      <c r="C14" s="37">
        <v>-6000</v>
      </c>
      <c r="D14" s="37">
        <v>-6000</v>
      </c>
      <c r="E14" s="37">
        <v>-6000</v>
      </c>
      <c r="F14" s="37">
        <v>-6000</v>
      </c>
      <c r="G14" s="37">
        <v>-6000</v>
      </c>
      <c r="H14" s="37">
        <v>-6000</v>
      </c>
      <c r="I14" s="37">
        <v>-6000</v>
      </c>
      <c r="J14" s="37">
        <v>-6000</v>
      </c>
      <c r="K14" s="37">
        <v>-6000</v>
      </c>
      <c r="L14" s="37">
        <v>-6000</v>
      </c>
      <c r="M14" s="37">
        <v>-6000</v>
      </c>
      <c r="N14" s="38">
        <f t="shared" si="7"/>
        <v>-72000</v>
      </c>
      <c r="P14" s="43"/>
      <c r="Q14" s="43"/>
      <c r="R14" s="77" t="s">
        <v>17</v>
      </c>
      <c r="S14" s="122">
        <f>N29</f>
        <v>-19200</v>
      </c>
      <c r="T14" s="84">
        <f t="shared" si="2"/>
        <v>-1600</v>
      </c>
    </row>
    <row r="15" spans="1:20" x14ac:dyDescent="0.25">
      <c r="A15" s="36" t="s">
        <v>8</v>
      </c>
      <c r="B15" s="37">
        <v>-500</v>
      </c>
      <c r="C15" s="37">
        <v>-500</v>
      </c>
      <c r="D15" s="37">
        <v>-500</v>
      </c>
      <c r="E15" s="37">
        <v>-500</v>
      </c>
      <c r="F15" s="37">
        <v>-500</v>
      </c>
      <c r="G15" s="37">
        <v>-500</v>
      </c>
      <c r="H15" s="37">
        <v>-500</v>
      </c>
      <c r="I15" s="37">
        <v>-500</v>
      </c>
      <c r="J15" s="37">
        <v>-500</v>
      </c>
      <c r="K15" s="37">
        <v>-500</v>
      </c>
      <c r="L15" s="37">
        <v>-500</v>
      </c>
      <c r="M15" s="37">
        <v>-500</v>
      </c>
      <c r="N15" s="38">
        <f t="shared" si="7"/>
        <v>-6000</v>
      </c>
      <c r="P15" s="43"/>
      <c r="Q15" s="43"/>
      <c r="R15" s="80" t="s">
        <v>31</v>
      </c>
      <c r="S15" s="121">
        <f>S2+S7</f>
        <v>489176.09274999995</v>
      </c>
      <c r="T15" s="83">
        <f t="shared" si="2"/>
        <v>40764.674395833332</v>
      </c>
    </row>
    <row r="16" spans="1:20" x14ac:dyDescent="0.25">
      <c r="A16" s="36" t="s">
        <v>7</v>
      </c>
      <c r="B16" s="37">
        <v>-3650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f t="shared" si="7"/>
        <v>-3650</v>
      </c>
      <c r="P16" s="43"/>
      <c r="Q16" s="43"/>
      <c r="R16" s="80" t="s">
        <v>10</v>
      </c>
      <c r="S16" s="121">
        <f>SUM(S17:S24)</f>
        <v>-281594</v>
      </c>
      <c r="T16" s="83">
        <f t="shared" si="2"/>
        <v>-23466.166666666668</v>
      </c>
    </row>
    <row r="17" spans="1:22" x14ac:dyDescent="0.25">
      <c r="A17" s="39" t="s">
        <v>80</v>
      </c>
      <c r="B17" s="40">
        <f>SUM(B18:B20)</f>
        <v>-7227</v>
      </c>
      <c r="C17" s="40">
        <f t="shared" ref="C17:M17" si="8">SUM(C18:C20)</f>
        <v>-3580</v>
      </c>
      <c r="D17" s="40">
        <f t="shared" si="8"/>
        <v>-3619</v>
      </c>
      <c r="E17" s="40">
        <f t="shared" si="8"/>
        <v>-3586</v>
      </c>
      <c r="F17" s="40">
        <f t="shared" si="8"/>
        <v>-3662</v>
      </c>
      <c r="G17" s="40">
        <f t="shared" si="8"/>
        <v>-3596</v>
      </c>
      <c r="H17" s="40">
        <f t="shared" si="8"/>
        <v>-3637</v>
      </c>
      <c r="I17" s="40">
        <f t="shared" si="8"/>
        <v>-3604</v>
      </c>
      <c r="J17" s="40">
        <f t="shared" si="8"/>
        <v>-3547</v>
      </c>
      <c r="K17" s="40">
        <f t="shared" si="8"/>
        <v>-3658</v>
      </c>
      <c r="L17" s="40">
        <f t="shared" si="8"/>
        <v>-3562</v>
      </c>
      <c r="M17" s="40">
        <f t="shared" si="8"/>
        <v>-3450</v>
      </c>
      <c r="N17" s="41">
        <f>SUM(N18:N20)</f>
        <v>-46728</v>
      </c>
      <c r="P17" s="43"/>
      <c r="Q17" s="43"/>
      <c r="R17" s="77" t="s">
        <v>11</v>
      </c>
      <c r="S17" s="122">
        <f>N11</f>
        <v>-21348</v>
      </c>
      <c r="T17" s="84">
        <f t="shared" si="2"/>
        <v>-1779</v>
      </c>
      <c r="V17" s="20"/>
    </row>
    <row r="18" spans="1:22" x14ac:dyDescent="0.25">
      <c r="A18" s="36" t="s">
        <v>14</v>
      </c>
      <c r="B18" s="37">
        <v>-2134</v>
      </c>
      <c r="C18" s="37">
        <v>-2110</v>
      </c>
      <c r="D18" s="37">
        <v>-2141</v>
      </c>
      <c r="E18" s="37">
        <v>-2183</v>
      </c>
      <c r="F18" s="37">
        <v>-2191</v>
      </c>
      <c r="G18" s="37">
        <v>-2123</v>
      </c>
      <c r="H18" s="37">
        <v>-2197</v>
      </c>
      <c r="I18" s="37">
        <v>-2187</v>
      </c>
      <c r="J18" s="37">
        <v>-2138</v>
      </c>
      <c r="K18" s="37">
        <v>-2183</v>
      </c>
      <c r="L18" s="37">
        <v>-2115</v>
      </c>
      <c r="M18" s="37">
        <v>-2169</v>
      </c>
      <c r="N18" s="38">
        <f t="shared" si="7"/>
        <v>-25871</v>
      </c>
      <c r="P18" s="43"/>
      <c r="Q18" s="43"/>
      <c r="R18" s="77" t="s">
        <v>12</v>
      </c>
      <c r="S18" s="122">
        <f>N12</f>
        <v>-9198</v>
      </c>
      <c r="T18" s="84">
        <f t="shared" si="2"/>
        <v>-766.5</v>
      </c>
    </row>
    <row r="19" spans="1:22" x14ac:dyDescent="0.25">
      <c r="A19" s="36" t="s">
        <v>18</v>
      </c>
      <c r="B19" s="37">
        <v>-1443</v>
      </c>
      <c r="C19" s="37">
        <v>-1470</v>
      </c>
      <c r="D19" s="37">
        <v>-1478</v>
      </c>
      <c r="E19" s="37">
        <v>-1403</v>
      </c>
      <c r="F19" s="37">
        <v>-1471</v>
      </c>
      <c r="G19" s="37">
        <v>-1473</v>
      </c>
      <c r="H19" s="37">
        <v>-1440</v>
      </c>
      <c r="I19" s="37">
        <v>-1417</v>
      </c>
      <c r="J19" s="37">
        <v>-1409</v>
      </c>
      <c r="K19" s="37">
        <v>-1475</v>
      </c>
      <c r="L19" s="37">
        <v>-1447</v>
      </c>
      <c r="M19" s="37">
        <v>-1281</v>
      </c>
      <c r="N19" s="38">
        <f t="shared" si="7"/>
        <v>-17207</v>
      </c>
      <c r="P19" s="43"/>
      <c r="Q19" s="43"/>
      <c r="R19" s="77" t="s">
        <v>13</v>
      </c>
      <c r="S19" s="122">
        <f>N13</f>
        <v>-25088</v>
      </c>
      <c r="T19" s="84">
        <f t="shared" si="2"/>
        <v>-2090.6666666666665</v>
      </c>
    </row>
    <row r="20" spans="1:22" x14ac:dyDescent="0.25">
      <c r="A20" s="36" t="s">
        <v>7</v>
      </c>
      <c r="B20" s="37">
        <v>-3650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8">
        <f t="shared" si="7"/>
        <v>-3650</v>
      </c>
      <c r="P20" s="43"/>
      <c r="Q20" s="43"/>
      <c r="R20" s="77" t="s">
        <v>14</v>
      </c>
      <c r="S20" s="122">
        <f>N18</f>
        <v>-25871</v>
      </c>
      <c r="T20" s="84">
        <f t="shared" si="2"/>
        <v>-2155.9166666666665</v>
      </c>
    </row>
    <row r="21" spans="1:22" x14ac:dyDescent="0.25">
      <c r="A21" s="39" t="s">
        <v>81</v>
      </c>
      <c r="B21" s="40">
        <f>SUM(B22:B30)</f>
        <v>-109953</v>
      </c>
      <c r="C21" s="40">
        <f t="shared" ref="C21:M21" si="9">SUM(C22:C30)</f>
        <v>-21960</v>
      </c>
      <c r="D21" s="40">
        <f t="shared" si="9"/>
        <v>-22512</v>
      </c>
      <c r="E21" s="40">
        <f t="shared" si="9"/>
        <v>-21469</v>
      </c>
      <c r="F21" s="40">
        <f t="shared" si="9"/>
        <v>-22373</v>
      </c>
      <c r="G21" s="40">
        <f t="shared" si="9"/>
        <v>-63369</v>
      </c>
      <c r="H21" s="40">
        <f t="shared" si="9"/>
        <v>-21477</v>
      </c>
      <c r="I21" s="40">
        <f t="shared" si="9"/>
        <v>-21078</v>
      </c>
      <c r="J21" s="40">
        <f t="shared" si="9"/>
        <v>-21997</v>
      </c>
      <c r="K21" s="40">
        <f t="shared" si="9"/>
        <v>-23188</v>
      </c>
      <c r="L21" s="40">
        <f t="shared" si="9"/>
        <v>-70071</v>
      </c>
      <c r="M21" s="40">
        <f t="shared" si="9"/>
        <v>-23511</v>
      </c>
      <c r="N21" s="41">
        <f>SUM(N22:N30)</f>
        <v>-442958</v>
      </c>
      <c r="P21" s="43"/>
      <c r="Q21" s="43"/>
      <c r="R21" s="77" t="s">
        <v>18</v>
      </c>
      <c r="S21" s="122">
        <f>N19</f>
        <v>-17207</v>
      </c>
      <c r="T21" s="84">
        <f t="shared" si="2"/>
        <v>-1433.9166666666667</v>
      </c>
      <c r="U21" s="20"/>
    </row>
    <row r="22" spans="1:22" x14ac:dyDescent="0.25">
      <c r="A22" s="36" t="s">
        <v>19</v>
      </c>
      <c r="B22" s="37">
        <v>-35000</v>
      </c>
      <c r="C22" s="37">
        <v>0</v>
      </c>
      <c r="D22" s="37">
        <v>0</v>
      </c>
      <c r="E22" s="37">
        <v>0</v>
      </c>
      <c r="F22" s="37">
        <v>0</v>
      </c>
      <c r="G22" s="37">
        <v>-42000</v>
      </c>
      <c r="H22" s="37">
        <v>0</v>
      </c>
      <c r="I22" s="37">
        <v>0</v>
      </c>
      <c r="J22" s="37">
        <v>0</v>
      </c>
      <c r="K22" s="37">
        <v>0</v>
      </c>
      <c r="L22" s="37">
        <v>-47930</v>
      </c>
      <c r="M22" s="37">
        <v>0</v>
      </c>
      <c r="N22" s="38">
        <f t="shared" si="7"/>
        <v>-124930</v>
      </c>
      <c r="P22" s="43"/>
      <c r="Q22" s="43"/>
      <c r="R22" s="77" t="s">
        <v>19</v>
      </c>
      <c r="S22" s="122">
        <f>N22</f>
        <v>-124930</v>
      </c>
      <c r="T22" s="84">
        <f t="shared" si="2"/>
        <v>-10410.833333333334</v>
      </c>
    </row>
    <row r="23" spans="1:22" x14ac:dyDescent="0.25">
      <c r="A23" s="36" t="s">
        <v>24</v>
      </c>
      <c r="B23" s="37">
        <v>-2442</v>
      </c>
      <c r="C23" s="37">
        <v>-2350</v>
      </c>
      <c r="D23" s="37">
        <v>-2740</v>
      </c>
      <c r="E23" s="37">
        <v>-2162</v>
      </c>
      <c r="F23" s="37">
        <v>-2943</v>
      </c>
      <c r="G23" s="37">
        <v>-2343</v>
      </c>
      <c r="H23" s="37">
        <v>-2125</v>
      </c>
      <c r="I23" s="37">
        <v>-2034</v>
      </c>
      <c r="J23" s="37">
        <v>-2249</v>
      </c>
      <c r="K23" s="37">
        <v>-3293</v>
      </c>
      <c r="L23" s="37">
        <v>-2418</v>
      </c>
      <c r="M23" s="37">
        <v>-2403</v>
      </c>
      <c r="N23" s="38">
        <f t="shared" si="7"/>
        <v>-29502</v>
      </c>
      <c r="P23" s="43"/>
      <c r="Q23" s="43"/>
      <c r="R23" s="77" t="s">
        <v>20</v>
      </c>
      <c r="S23" s="122">
        <f>N23</f>
        <v>-29502</v>
      </c>
      <c r="T23" s="84">
        <f t="shared" si="2"/>
        <v>-2458.5</v>
      </c>
    </row>
    <row r="24" spans="1:22" x14ac:dyDescent="0.25">
      <c r="A24" s="36" t="s">
        <v>32</v>
      </c>
      <c r="B24" s="37">
        <v>-3000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8">
        <f t="shared" si="7"/>
        <v>-3000</v>
      </c>
      <c r="P24" s="43"/>
      <c r="Q24" s="43"/>
      <c r="R24" s="77" t="s">
        <v>29</v>
      </c>
      <c r="S24" s="122">
        <f>N25</f>
        <v>-28450</v>
      </c>
      <c r="T24" s="84">
        <f>S24/12</f>
        <v>-2370.8333333333335</v>
      </c>
    </row>
    <row r="25" spans="1:22" x14ac:dyDescent="0.25">
      <c r="A25" s="36" t="s">
        <v>82</v>
      </c>
      <c r="B25" s="37">
        <v>-2013</v>
      </c>
      <c r="C25" s="37">
        <v>-2112</v>
      </c>
      <c r="D25" s="37">
        <v>-2474</v>
      </c>
      <c r="E25" s="37">
        <v>-2309</v>
      </c>
      <c r="F25" s="37">
        <v>-2432</v>
      </c>
      <c r="G25" s="37">
        <v>-2028</v>
      </c>
      <c r="H25" s="37">
        <v>-2354</v>
      </c>
      <c r="I25" s="37">
        <v>-2046</v>
      </c>
      <c r="J25" s="37">
        <v>-2450</v>
      </c>
      <c r="K25" s="37">
        <v>-2397</v>
      </c>
      <c r="L25" s="37">
        <v>-2225</v>
      </c>
      <c r="M25" s="37">
        <v>-3610</v>
      </c>
      <c r="N25" s="38">
        <f t="shared" si="7"/>
        <v>-28450</v>
      </c>
      <c r="P25" s="43"/>
      <c r="Q25" s="43"/>
      <c r="R25" s="80" t="s">
        <v>22</v>
      </c>
      <c r="S25" s="121">
        <f>S15+S16</f>
        <v>207582.09274999995</v>
      </c>
      <c r="T25" s="85">
        <f>S25/12</f>
        <v>17298.507729166664</v>
      </c>
    </row>
    <row r="26" spans="1:22" x14ac:dyDescent="0.25">
      <c r="A26" s="36" t="s">
        <v>9</v>
      </c>
      <c r="B26" s="37">
        <v>-10000</v>
      </c>
      <c r="C26" s="37">
        <v>-10000</v>
      </c>
      <c r="D26" s="37">
        <v>-10000</v>
      </c>
      <c r="E26" s="37">
        <v>-10000</v>
      </c>
      <c r="F26" s="37">
        <v>-10000</v>
      </c>
      <c r="G26" s="37">
        <v>-10000</v>
      </c>
      <c r="H26" s="37">
        <v>-10000</v>
      </c>
      <c r="I26" s="37">
        <v>-10000</v>
      </c>
      <c r="J26" s="37">
        <v>-10000</v>
      </c>
      <c r="K26" s="37">
        <v>-10000</v>
      </c>
      <c r="L26" s="37">
        <v>-10000</v>
      </c>
      <c r="M26" s="37">
        <v>-10000</v>
      </c>
      <c r="N26" s="38">
        <f t="shared" si="7"/>
        <v>-120000</v>
      </c>
      <c r="P26" s="43"/>
      <c r="Q26" s="43"/>
      <c r="R26" s="77" t="s">
        <v>25</v>
      </c>
      <c r="S26" s="122">
        <f>N30</f>
        <v>-71576</v>
      </c>
      <c r="T26" s="84">
        <f>S26/12</f>
        <v>-5964.666666666667</v>
      </c>
    </row>
    <row r="27" spans="1:22" x14ac:dyDescent="0.25">
      <c r="A27" s="36" t="s">
        <v>15</v>
      </c>
      <c r="B27" s="37">
        <v>-2400</v>
      </c>
      <c r="C27" s="37">
        <v>-2400</v>
      </c>
      <c r="D27" s="37">
        <v>-2400</v>
      </c>
      <c r="E27" s="37">
        <v>-2400</v>
      </c>
      <c r="F27" s="37">
        <v>-2400</v>
      </c>
      <c r="G27" s="37">
        <v>-2400</v>
      </c>
      <c r="H27" s="37">
        <v>-2400</v>
      </c>
      <c r="I27" s="37">
        <v>-2400</v>
      </c>
      <c r="J27" s="37">
        <v>-2400</v>
      </c>
      <c r="K27" s="37">
        <v>-2400</v>
      </c>
      <c r="L27" s="37">
        <v>-2400</v>
      </c>
      <c r="M27" s="37">
        <v>-2400</v>
      </c>
      <c r="N27" s="38">
        <f t="shared" si="7"/>
        <v>-28800</v>
      </c>
      <c r="P27" s="43"/>
      <c r="Q27" s="43"/>
      <c r="R27" s="77" t="s">
        <v>95</v>
      </c>
      <c r="S27" s="122">
        <f>N24</f>
        <v>-3000</v>
      </c>
      <c r="T27" s="84">
        <f>S27/12</f>
        <v>-250</v>
      </c>
    </row>
    <row r="28" spans="1:22" x14ac:dyDescent="0.25">
      <c r="A28" s="36" t="s">
        <v>16</v>
      </c>
      <c r="B28" s="37">
        <v>-1700</v>
      </c>
      <c r="C28" s="37">
        <v>-1700</v>
      </c>
      <c r="D28" s="37">
        <v>-1500</v>
      </c>
      <c r="E28" s="37">
        <v>-1200</v>
      </c>
      <c r="F28" s="37">
        <v>-1200</v>
      </c>
      <c r="G28" s="37">
        <v>-1200</v>
      </c>
      <c r="H28" s="37">
        <v>-1200</v>
      </c>
      <c r="I28" s="37">
        <v>-1200</v>
      </c>
      <c r="J28" s="37">
        <v>-1500</v>
      </c>
      <c r="K28" s="37">
        <v>-1700</v>
      </c>
      <c r="L28" s="37">
        <v>-1700</v>
      </c>
      <c r="M28" s="37">
        <v>-1700</v>
      </c>
      <c r="N28" s="38">
        <f t="shared" si="7"/>
        <v>-17500</v>
      </c>
      <c r="P28" s="43"/>
      <c r="Q28" s="43"/>
      <c r="R28" s="80" t="s">
        <v>23</v>
      </c>
      <c r="S28" s="121">
        <f>S25+S26+S27</f>
        <v>133006.09274999995</v>
      </c>
      <c r="T28" s="85">
        <f>S28/12</f>
        <v>11083.841062499996</v>
      </c>
    </row>
    <row r="29" spans="1:22" x14ac:dyDescent="0.25">
      <c r="A29" s="36" t="s">
        <v>17</v>
      </c>
      <c r="B29" s="37">
        <v>-1600</v>
      </c>
      <c r="C29" s="37">
        <v>-1600</v>
      </c>
      <c r="D29" s="37">
        <v>-1600</v>
      </c>
      <c r="E29" s="37">
        <v>-1600</v>
      </c>
      <c r="F29" s="37">
        <v>-1600</v>
      </c>
      <c r="G29" s="37">
        <v>-1600</v>
      </c>
      <c r="H29" s="37">
        <v>-1600</v>
      </c>
      <c r="I29" s="37">
        <v>-1600</v>
      </c>
      <c r="J29" s="37">
        <v>-1600</v>
      </c>
      <c r="K29" s="37">
        <v>-1600</v>
      </c>
      <c r="L29" s="37">
        <v>-1600</v>
      </c>
      <c r="M29" s="37">
        <v>-1600</v>
      </c>
      <c r="N29" s="38">
        <f t="shared" si="7"/>
        <v>-19200</v>
      </c>
      <c r="P29" s="43"/>
      <c r="Q29" s="43"/>
    </row>
    <row r="30" spans="1:22" ht="15.75" thickBot="1" x14ac:dyDescent="0.3">
      <c r="A30" s="36" t="s">
        <v>25</v>
      </c>
      <c r="B30" s="37">
        <f>-1798-50000</f>
        <v>-51798</v>
      </c>
      <c r="C30" s="37">
        <v>-1798</v>
      </c>
      <c r="D30" s="37">
        <v>-1798</v>
      </c>
      <c r="E30" s="37">
        <v>-1798</v>
      </c>
      <c r="F30" s="37">
        <v>-1798</v>
      </c>
      <c r="G30" s="37">
        <v>-1798</v>
      </c>
      <c r="H30" s="37">
        <v>-1798</v>
      </c>
      <c r="I30" s="37">
        <v>-1798</v>
      </c>
      <c r="J30" s="37">
        <v>-1798</v>
      </c>
      <c r="K30" s="37">
        <v>-1798</v>
      </c>
      <c r="L30" s="37">
        <v>-1798</v>
      </c>
      <c r="M30" s="37">
        <v>-1798</v>
      </c>
      <c r="N30" s="42">
        <f>SUM(B30:M30)</f>
        <v>-71576</v>
      </c>
    </row>
    <row r="31" spans="1:22" ht="15.75" thickBot="1" x14ac:dyDescent="0.3">
      <c r="A31" s="28" t="s">
        <v>83</v>
      </c>
      <c r="B31" s="31">
        <f>B10+B17+B21</f>
        <v>-131925</v>
      </c>
      <c r="C31" s="31">
        <f t="shared" ref="C31:M31" si="10">C10+C17+C21</f>
        <v>-36528</v>
      </c>
      <c r="D31" s="31">
        <f t="shared" si="10"/>
        <v>-37226</v>
      </c>
      <c r="E31" s="31">
        <f t="shared" si="10"/>
        <v>-36140</v>
      </c>
      <c r="F31" s="31">
        <f t="shared" si="10"/>
        <v>-37118</v>
      </c>
      <c r="G31" s="31">
        <f t="shared" si="10"/>
        <v>-77989</v>
      </c>
      <c r="H31" s="31">
        <f t="shared" si="10"/>
        <v>-36013</v>
      </c>
      <c r="I31" s="31">
        <f t="shared" si="10"/>
        <v>-35690</v>
      </c>
      <c r="J31" s="31">
        <f t="shared" si="10"/>
        <v>-36719</v>
      </c>
      <c r="K31" s="31">
        <f t="shared" si="10"/>
        <v>-37964</v>
      </c>
      <c r="L31" s="31">
        <f t="shared" si="10"/>
        <v>-84827</v>
      </c>
      <c r="M31" s="31">
        <f t="shared" si="10"/>
        <v>-38831</v>
      </c>
      <c r="N31" s="32">
        <f>SUM(B31:M31)</f>
        <v>-626970</v>
      </c>
    </row>
    <row r="32" spans="1:22" ht="15.75" thickBot="1" x14ac:dyDescent="0.3">
      <c r="A32" s="28" t="s">
        <v>46</v>
      </c>
      <c r="B32" s="31">
        <f t="shared" ref="B32:N32" si="11">B9+B31</f>
        <v>-69827.461649999997</v>
      </c>
      <c r="C32" s="31">
        <f t="shared" si="11"/>
        <v>25586.553650000002</v>
      </c>
      <c r="D32" s="31">
        <f t="shared" si="11"/>
        <v>24905.2978</v>
      </c>
      <c r="E32" s="31">
        <f t="shared" si="11"/>
        <v>26008.511149999998</v>
      </c>
      <c r="F32" s="31">
        <f t="shared" si="11"/>
        <v>25047.53325</v>
      </c>
      <c r="G32" s="31">
        <f t="shared" si="11"/>
        <v>-15841.640599999999</v>
      </c>
      <c r="H32" s="31">
        <f t="shared" si="11"/>
        <v>26151.646699999998</v>
      </c>
      <c r="I32" s="31">
        <f t="shared" si="11"/>
        <v>26492.117599999998</v>
      </c>
      <c r="J32" s="31">
        <f t="shared" si="11"/>
        <v>25479.865149999998</v>
      </c>
      <c r="K32" s="31">
        <f t="shared" si="11"/>
        <v>24251.506450000001</v>
      </c>
      <c r="L32" s="31">
        <f t="shared" si="11"/>
        <v>-22635.432950000002</v>
      </c>
      <c r="M32" s="31">
        <f t="shared" si="11"/>
        <v>37387.5962</v>
      </c>
      <c r="N32" s="32">
        <f t="shared" si="11"/>
        <v>133006.09274999995</v>
      </c>
      <c r="S32" s="20"/>
    </row>
    <row r="35" spans="1:14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4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41" spans="1:14" x14ac:dyDescent="0.25">
      <c r="A41" s="133" t="s">
        <v>124</v>
      </c>
      <c r="B41" s="133"/>
      <c r="C41" s="133"/>
      <c r="D41" s="133"/>
    </row>
    <row r="42" spans="1:14" x14ac:dyDescent="0.25">
      <c r="A42" s="133" t="s">
        <v>39</v>
      </c>
      <c r="B42" s="133"/>
      <c r="C42" s="133" t="s">
        <v>40</v>
      </c>
      <c r="D42" s="133"/>
    </row>
    <row r="43" spans="1:14" x14ac:dyDescent="0.25">
      <c r="A43" s="22" t="s">
        <v>41</v>
      </c>
      <c r="B43" s="22" t="s">
        <v>42</v>
      </c>
      <c r="C43" s="22" t="s">
        <v>41</v>
      </c>
      <c r="D43" s="22" t="s">
        <v>42</v>
      </c>
    </row>
    <row r="44" spans="1:14" x14ac:dyDescent="0.25">
      <c r="A44" s="134" t="s">
        <v>49</v>
      </c>
      <c r="B44" s="134">
        <f>70000+N32</f>
        <v>203006.09274999995</v>
      </c>
      <c r="C44" s="22" t="s">
        <v>50</v>
      </c>
      <c r="D44" s="22">
        <f>B48-SUM(D45:D47)</f>
        <v>273960.09274999995</v>
      </c>
    </row>
    <row r="45" spans="1:14" x14ac:dyDescent="0.25">
      <c r="A45" s="134"/>
      <c r="B45" s="134"/>
      <c r="C45" s="22" t="s">
        <v>46</v>
      </c>
      <c r="D45" s="22">
        <v>0</v>
      </c>
    </row>
    <row r="46" spans="1:14" x14ac:dyDescent="0.25">
      <c r="A46" s="22" t="s">
        <v>43</v>
      </c>
      <c r="B46" s="22">
        <v>50250</v>
      </c>
      <c r="C46" s="22" t="s">
        <v>47</v>
      </c>
      <c r="D46" s="22">
        <v>3000</v>
      </c>
    </row>
    <row r="47" spans="1:14" x14ac:dyDescent="0.25">
      <c r="A47" s="22" t="s">
        <v>44</v>
      </c>
      <c r="B47" s="22">
        <v>23704</v>
      </c>
      <c r="C47" s="22" t="s">
        <v>48</v>
      </c>
      <c r="D47" s="22">
        <v>0</v>
      </c>
    </row>
    <row r="48" spans="1:14" x14ac:dyDescent="0.25">
      <c r="A48" s="22" t="s">
        <v>30</v>
      </c>
      <c r="B48" s="22">
        <f>SUM(B44:B47)</f>
        <v>276960.09274999995</v>
      </c>
      <c r="C48" s="22" t="s">
        <v>45</v>
      </c>
      <c r="D48" s="22">
        <f>SUM(D44:D47)</f>
        <v>276960.09274999995</v>
      </c>
    </row>
    <row r="51" spans="19:19" x14ac:dyDescent="0.25">
      <c r="S51" s="20"/>
    </row>
    <row r="53" spans="19:19" x14ac:dyDescent="0.25">
      <c r="S53" s="20"/>
    </row>
  </sheetData>
  <mergeCells count="5">
    <mergeCell ref="A41:D41"/>
    <mergeCell ref="A42:B42"/>
    <mergeCell ref="C42:D42"/>
    <mergeCell ref="A44:A45"/>
    <mergeCell ref="B44:B45"/>
  </mergeCells>
  <phoneticPr fontId="7" type="noConversion"/>
  <conditionalFormatting sqref="D48">
    <cfRule type="cellIs" dxfId="30" priority="2" operator="equal">
      <formula>#REF!</formula>
    </cfRule>
  </conditionalFormatting>
  <conditionalFormatting sqref="B48">
    <cfRule type="cellIs" dxfId="29" priority="1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0653-B128-426C-BD78-9ED60FD6BEFA}">
  <dimension ref="A1:H57"/>
  <sheetViews>
    <sheetView zoomScaleNormal="100" workbookViewId="0">
      <selection activeCell="G29" sqref="G29"/>
    </sheetView>
  </sheetViews>
  <sheetFormatPr defaultColWidth="20.7109375" defaultRowHeight="15" x14ac:dyDescent="0.25"/>
  <cols>
    <col min="1" max="1" width="37" style="88" bestFit="1" customWidth="1"/>
    <col min="2" max="2" width="12.7109375" style="88" bestFit="1" customWidth="1"/>
    <col min="3" max="3" width="20.7109375" style="88"/>
    <col min="4" max="5" width="20.7109375" style="88" customWidth="1"/>
    <col min="6" max="6" width="20.7109375" style="88"/>
    <col min="7" max="7" width="20.7109375" style="88" customWidth="1"/>
    <col min="8" max="16384" width="20.7109375" style="88"/>
  </cols>
  <sheetData>
    <row r="1" spans="1:8" x14ac:dyDescent="0.25">
      <c r="A1" s="77" t="s">
        <v>34</v>
      </c>
      <c r="B1" s="77">
        <v>2029</v>
      </c>
      <c r="D1" s="150" t="s">
        <v>39</v>
      </c>
      <c r="E1" s="150"/>
      <c r="F1" s="150" t="s">
        <v>40</v>
      </c>
      <c r="G1" s="150"/>
    </row>
    <row r="2" spans="1:8" x14ac:dyDescent="0.25">
      <c r="A2" s="80" t="s">
        <v>0</v>
      </c>
      <c r="B2" s="81">
        <f>SUM(B3:B3)</f>
        <v>745020</v>
      </c>
      <c r="D2" s="96" t="s">
        <v>41</v>
      </c>
      <c r="E2" s="96" t="s">
        <v>42</v>
      </c>
      <c r="F2" s="96" t="s">
        <v>41</v>
      </c>
      <c r="G2" s="96" t="s">
        <v>42</v>
      </c>
    </row>
    <row r="3" spans="1:8" x14ac:dyDescent="0.25">
      <c r="A3" s="77" t="s">
        <v>1</v>
      </c>
      <c r="B3" s="78">
        <f>33000*12+29085*12</f>
        <v>745020</v>
      </c>
      <c r="C3" s="90"/>
      <c r="D3" s="139" t="s">
        <v>49</v>
      </c>
      <c r="E3" s="139">
        <f>1049042+B27</f>
        <v>49981</v>
      </c>
      <c r="F3" s="139" t="s">
        <v>100</v>
      </c>
      <c r="G3" s="139">
        <f>E7-G5-G6</f>
        <v>-1816739</v>
      </c>
      <c r="H3" s="151"/>
    </row>
    <row r="4" spans="1:8" x14ac:dyDescent="0.25">
      <c r="A4" s="80" t="s">
        <v>5</v>
      </c>
      <c r="B4" s="81">
        <f>SUM(B5:B11)</f>
        <v>-150800</v>
      </c>
      <c r="D4" s="139"/>
      <c r="E4" s="139"/>
      <c r="F4" s="139"/>
      <c r="G4" s="139"/>
      <c r="H4" s="151"/>
    </row>
    <row r="5" spans="1:8" x14ac:dyDescent="0.25">
      <c r="A5" s="77" t="s">
        <v>6</v>
      </c>
      <c r="B5" s="78">
        <v>-72000</v>
      </c>
      <c r="D5" s="139" t="s">
        <v>102</v>
      </c>
      <c r="E5" s="139">
        <v>6000000</v>
      </c>
      <c r="F5" s="96" t="s">
        <v>47</v>
      </c>
      <c r="G5" s="87">
        <v>327780</v>
      </c>
      <c r="H5" s="97"/>
    </row>
    <row r="6" spans="1:8" x14ac:dyDescent="0.25">
      <c r="A6" s="77" t="s">
        <v>7</v>
      </c>
      <c r="B6" s="78">
        <v>-7300</v>
      </c>
      <c r="C6" s="90"/>
      <c r="D6" s="139"/>
      <c r="E6" s="139"/>
      <c r="F6" s="96" t="s">
        <v>48</v>
      </c>
      <c r="G6" s="87">
        <v>7538940</v>
      </c>
      <c r="H6" s="149"/>
    </row>
    <row r="7" spans="1:8" x14ac:dyDescent="0.25">
      <c r="A7" s="77" t="s">
        <v>8</v>
      </c>
      <c r="B7" s="78">
        <v>-6000</v>
      </c>
      <c r="C7" s="90"/>
      <c r="D7" s="125" t="s">
        <v>30</v>
      </c>
      <c r="E7" s="123">
        <f>SUM(E3:E6)</f>
        <v>6049981</v>
      </c>
      <c r="F7" s="132" t="s">
        <v>45</v>
      </c>
      <c r="G7" s="125">
        <f>SUM(G3:G6)</f>
        <v>6049981</v>
      </c>
      <c r="H7" s="149"/>
    </row>
    <row r="8" spans="1:8" x14ac:dyDescent="0.25">
      <c r="A8" s="77" t="s">
        <v>9</v>
      </c>
      <c r="B8" s="78"/>
      <c r="C8" s="90"/>
      <c r="G8" s="97"/>
      <c r="H8" s="97"/>
    </row>
    <row r="9" spans="1:8" ht="15" customHeight="1" x14ac:dyDescent="0.25">
      <c r="A9" s="77" t="s">
        <v>15</v>
      </c>
      <c r="B9" s="78">
        <v>-28800</v>
      </c>
    </row>
    <row r="10" spans="1:8" ht="15" customHeight="1" x14ac:dyDescent="0.25">
      <c r="A10" s="77" t="s">
        <v>16</v>
      </c>
      <c r="B10" s="78">
        <v>-17500</v>
      </c>
    </row>
    <row r="11" spans="1:8" ht="15" customHeight="1" x14ac:dyDescent="0.25">
      <c r="A11" s="77" t="s">
        <v>17</v>
      </c>
      <c r="B11" s="78">
        <v>-19200</v>
      </c>
    </row>
    <row r="12" spans="1:8" ht="15" customHeight="1" x14ac:dyDescent="0.25">
      <c r="A12" s="80" t="s">
        <v>31</v>
      </c>
      <c r="B12" s="81">
        <f>B2+B4</f>
        <v>594220</v>
      </c>
    </row>
    <row r="13" spans="1:8" ht="15" customHeight="1" x14ac:dyDescent="0.25">
      <c r="A13" s="80" t="s">
        <v>10</v>
      </c>
      <c r="B13" s="81">
        <f>SUM(B14:B22)</f>
        <v>-361801</v>
      </c>
    </row>
    <row r="14" spans="1:8" x14ac:dyDescent="0.25">
      <c r="A14" s="77" t="s">
        <v>11</v>
      </c>
      <c r="B14" s="78">
        <v>-18360</v>
      </c>
    </row>
    <row r="15" spans="1:8" x14ac:dyDescent="0.25">
      <c r="A15" s="77" t="s">
        <v>12</v>
      </c>
      <c r="B15" s="78">
        <v>-6000</v>
      </c>
    </row>
    <row r="16" spans="1:8" x14ac:dyDescent="0.25">
      <c r="A16" s="77" t="s">
        <v>13</v>
      </c>
      <c r="B16" s="78">
        <v>-25341</v>
      </c>
    </row>
    <row r="17" spans="1:4" x14ac:dyDescent="0.25">
      <c r="A17" s="77" t="s">
        <v>14</v>
      </c>
      <c r="B17" s="78">
        <v>-18000</v>
      </c>
    </row>
    <row r="18" spans="1:4" x14ac:dyDescent="0.25">
      <c r="A18" s="77" t="s">
        <v>18</v>
      </c>
      <c r="B18" s="78">
        <v>-12000</v>
      </c>
    </row>
    <row r="19" spans="1:4" x14ac:dyDescent="0.25">
      <c r="A19" s="77" t="s">
        <v>19</v>
      </c>
      <c r="B19" s="78">
        <v>-30000</v>
      </c>
    </row>
    <row r="20" spans="1:4" x14ac:dyDescent="0.25">
      <c r="A20" s="77" t="s">
        <v>20</v>
      </c>
      <c r="B20" s="78">
        <v>-33600</v>
      </c>
      <c r="D20" s="90"/>
    </row>
    <row r="21" spans="1:4" x14ac:dyDescent="0.25">
      <c r="A21" s="77" t="s">
        <v>29</v>
      </c>
      <c r="B21" s="78">
        <v>-24000</v>
      </c>
      <c r="D21" s="90"/>
    </row>
    <row r="22" spans="1:4" x14ac:dyDescent="0.25">
      <c r="A22" s="77" t="s">
        <v>21</v>
      </c>
      <c r="B22" s="78">
        <f>-48000-146500</f>
        <v>-194500</v>
      </c>
    </row>
    <row r="23" spans="1:4" x14ac:dyDescent="0.25">
      <c r="A23" s="80" t="s">
        <v>22</v>
      </c>
      <c r="B23" s="81">
        <f>B12+B13</f>
        <v>232419</v>
      </c>
    </row>
    <row r="24" spans="1:4" x14ac:dyDescent="0.25">
      <c r="A24" s="77" t="s">
        <v>25</v>
      </c>
      <c r="B24" s="78">
        <v>0</v>
      </c>
    </row>
    <row r="25" spans="1:4" x14ac:dyDescent="0.25">
      <c r="A25" s="77" t="s">
        <v>95</v>
      </c>
      <c r="B25" s="78">
        <f>-3700-27315*12</f>
        <v>-331480</v>
      </c>
    </row>
    <row r="26" spans="1:4" x14ac:dyDescent="0.25">
      <c r="A26" s="95" t="s">
        <v>101</v>
      </c>
      <c r="B26" s="78">
        <v>-900000</v>
      </c>
    </row>
    <row r="27" spans="1:4" x14ac:dyDescent="0.25">
      <c r="A27" s="80" t="s">
        <v>23</v>
      </c>
      <c r="B27" s="81">
        <f>B23+B24+B25+B26</f>
        <v>-999061</v>
      </c>
      <c r="C27" s="90"/>
      <c r="D27" s="90"/>
    </row>
    <row r="29" spans="1:4" x14ac:dyDescent="0.25">
      <c r="C29" s="90"/>
    </row>
    <row r="30" spans="1:4" x14ac:dyDescent="0.25">
      <c r="B30" s="90"/>
      <c r="D30" s="89"/>
    </row>
    <row r="31" spans="1:4" x14ac:dyDescent="0.25">
      <c r="A31" s="77" t="s">
        <v>34</v>
      </c>
      <c r="B31" s="77">
        <v>2029</v>
      </c>
    </row>
    <row r="32" spans="1:4" x14ac:dyDescent="0.25">
      <c r="A32" s="77" t="s">
        <v>0</v>
      </c>
      <c r="B32" s="78">
        <v>35000</v>
      </c>
    </row>
    <row r="33" spans="1:4" hidden="1" x14ac:dyDescent="0.25">
      <c r="A33" s="77" t="s">
        <v>1</v>
      </c>
      <c r="B33" s="78">
        <f>33000*12+29085*12</f>
        <v>745020</v>
      </c>
    </row>
    <row r="34" spans="1:4" x14ac:dyDescent="0.25">
      <c r="A34" s="77" t="s">
        <v>5</v>
      </c>
      <c r="B34" s="78">
        <v>-10000</v>
      </c>
      <c r="D34" s="89"/>
    </row>
    <row r="35" spans="1:4" hidden="1" x14ac:dyDescent="0.25">
      <c r="A35" s="77" t="s">
        <v>6</v>
      </c>
      <c r="B35" s="78">
        <v>-72000</v>
      </c>
    </row>
    <row r="36" spans="1:4" hidden="1" x14ac:dyDescent="0.25">
      <c r="A36" s="77" t="s">
        <v>7</v>
      </c>
      <c r="B36" s="78">
        <v>-7300</v>
      </c>
    </row>
    <row r="37" spans="1:4" hidden="1" x14ac:dyDescent="0.25">
      <c r="A37" s="77" t="s">
        <v>8</v>
      </c>
      <c r="B37" s="78">
        <v>-6000</v>
      </c>
    </row>
    <row r="38" spans="1:4" hidden="1" x14ac:dyDescent="0.25">
      <c r="A38" s="77" t="s">
        <v>9</v>
      </c>
      <c r="B38" s="78"/>
    </row>
    <row r="39" spans="1:4" hidden="1" x14ac:dyDescent="0.25">
      <c r="A39" s="77" t="s">
        <v>15</v>
      </c>
      <c r="B39" s="79">
        <v>-28800</v>
      </c>
    </row>
    <row r="40" spans="1:4" hidden="1" x14ac:dyDescent="0.25">
      <c r="A40" s="77" t="s">
        <v>16</v>
      </c>
      <c r="B40" s="79">
        <v>-17500</v>
      </c>
    </row>
    <row r="41" spans="1:4" hidden="1" x14ac:dyDescent="0.25">
      <c r="A41" s="77" t="s">
        <v>17</v>
      </c>
      <c r="B41" s="79">
        <v>-19200</v>
      </c>
    </row>
    <row r="42" spans="1:4" x14ac:dyDescent="0.25">
      <c r="A42" s="80" t="s">
        <v>31</v>
      </c>
      <c r="B42" s="81">
        <f>B32+B34</f>
        <v>25000</v>
      </c>
      <c r="D42" s="89"/>
    </row>
    <row r="43" spans="1:4" x14ac:dyDescent="0.25">
      <c r="A43" s="77" t="s">
        <v>10</v>
      </c>
      <c r="B43" s="78">
        <v>-9000</v>
      </c>
      <c r="D43" s="89"/>
    </row>
    <row r="44" spans="1:4" hidden="1" x14ac:dyDescent="0.25">
      <c r="A44" s="77" t="s">
        <v>11</v>
      </c>
      <c r="B44" s="79">
        <v>-18360</v>
      </c>
    </row>
    <row r="45" spans="1:4" hidden="1" x14ac:dyDescent="0.25">
      <c r="A45" s="77" t="s">
        <v>12</v>
      </c>
      <c r="B45" s="79">
        <v>-6000</v>
      </c>
    </row>
    <row r="46" spans="1:4" hidden="1" x14ac:dyDescent="0.25">
      <c r="A46" s="77" t="s">
        <v>13</v>
      </c>
      <c r="B46" s="79">
        <v>-25341</v>
      </c>
    </row>
    <row r="47" spans="1:4" hidden="1" x14ac:dyDescent="0.25">
      <c r="A47" s="77" t="s">
        <v>14</v>
      </c>
      <c r="B47" s="79">
        <v>-18000</v>
      </c>
    </row>
    <row r="48" spans="1:4" hidden="1" x14ac:dyDescent="0.25">
      <c r="A48" s="77" t="s">
        <v>18</v>
      </c>
      <c r="B48" s="79">
        <v>-12000</v>
      </c>
    </row>
    <row r="49" spans="1:2" hidden="1" x14ac:dyDescent="0.25">
      <c r="A49" s="77" t="s">
        <v>19</v>
      </c>
      <c r="B49" s="79">
        <v>-30000</v>
      </c>
    </row>
    <row r="50" spans="1:2" hidden="1" x14ac:dyDescent="0.25">
      <c r="A50" s="77" t="s">
        <v>20</v>
      </c>
      <c r="B50" s="79">
        <v>-33600</v>
      </c>
    </row>
    <row r="51" spans="1:2" hidden="1" x14ac:dyDescent="0.25">
      <c r="A51" s="77" t="s">
        <v>29</v>
      </c>
      <c r="B51" s="79">
        <v>-24000</v>
      </c>
    </row>
    <row r="52" spans="1:2" hidden="1" x14ac:dyDescent="0.25">
      <c r="A52" s="77" t="s">
        <v>21</v>
      </c>
      <c r="B52" s="79">
        <f>-48000-146500</f>
        <v>-194500</v>
      </c>
    </row>
    <row r="53" spans="1:2" x14ac:dyDescent="0.25">
      <c r="A53" s="80" t="s">
        <v>22</v>
      </c>
      <c r="B53" s="82">
        <f>B42+B43</f>
        <v>16000</v>
      </c>
    </row>
    <row r="54" spans="1:2" x14ac:dyDescent="0.25">
      <c r="A54" s="77" t="s">
        <v>25</v>
      </c>
      <c r="B54" s="79">
        <v>-5000</v>
      </c>
    </row>
    <row r="55" spans="1:2" x14ac:dyDescent="0.25">
      <c r="A55" s="77" t="s">
        <v>95</v>
      </c>
      <c r="B55" s="79">
        <v>-7000</v>
      </c>
    </row>
    <row r="56" spans="1:2" x14ac:dyDescent="0.25">
      <c r="A56" s="95" t="s">
        <v>101</v>
      </c>
      <c r="B56" s="79">
        <v>0</v>
      </c>
    </row>
    <row r="57" spans="1:2" x14ac:dyDescent="0.25">
      <c r="A57" s="80" t="s">
        <v>23</v>
      </c>
      <c r="B57" s="82">
        <f>B53+B54+B55+B56</f>
        <v>4000</v>
      </c>
    </row>
  </sheetData>
  <mergeCells count="10">
    <mergeCell ref="F1:G1"/>
    <mergeCell ref="F3:F4"/>
    <mergeCell ref="G3:G4"/>
    <mergeCell ref="D1:E1"/>
    <mergeCell ref="H3:H4"/>
    <mergeCell ref="H6:H7"/>
    <mergeCell ref="D3:D4"/>
    <mergeCell ref="E3:E4"/>
    <mergeCell ref="D5:D6"/>
    <mergeCell ref="E5:E6"/>
  </mergeCells>
  <conditionalFormatting sqref="G8">
    <cfRule type="cellIs" dxfId="4" priority="3" operator="equal">
      <formula>#REF!</formula>
    </cfRule>
  </conditionalFormatting>
  <conditionalFormatting sqref="H8">
    <cfRule type="cellIs" dxfId="3" priority="2" operator="equal">
      <formula>#REF!</formula>
    </cfRule>
  </conditionalFormatting>
  <conditionalFormatting sqref="F7">
    <cfRule type="cellIs" dxfId="2" priority="1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6D7B-BF91-4BB4-A08F-84D2177CF454}">
  <dimension ref="A1:K29"/>
  <sheetViews>
    <sheetView tabSelected="1" workbookViewId="0">
      <selection activeCell="K2" sqref="K2"/>
    </sheetView>
  </sheetViews>
  <sheetFormatPr defaultColWidth="20.7109375" defaultRowHeight="15" x14ac:dyDescent="0.25"/>
  <sheetData>
    <row r="1" spans="1:11" x14ac:dyDescent="0.25">
      <c r="A1" s="3" t="s">
        <v>54</v>
      </c>
      <c r="B1" s="3" t="s">
        <v>55</v>
      </c>
      <c r="C1" s="3" t="s">
        <v>56</v>
      </c>
      <c r="D1" s="3" t="s">
        <v>57</v>
      </c>
      <c r="E1" s="3" t="s">
        <v>58</v>
      </c>
      <c r="F1" s="3" t="s">
        <v>59</v>
      </c>
      <c r="J1" t="s">
        <v>60</v>
      </c>
      <c r="K1">
        <f>230000*K2/((1+K2)^120-1)</f>
        <v>1798.09161949295</v>
      </c>
    </row>
    <row r="2" spans="1:11" x14ac:dyDescent="0.25">
      <c r="A2" s="3">
        <v>2018</v>
      </c>
      <c r="B2" s="12">
        <v>0</v>
      </c>
      <c r="C2" s="12">
        <v>21577</v>
      </c>
      <c r="D2" s="12">
        <f>F2-C2-2000</f>
        <v>126.63825104750867</v>
      </c>
      <c r="E2" s="4">
        <f>2000*((1+$K$2)^H2-1)/$K$2</f>
        <v>1999.9999999999363</v>
      </c>
      <c r="F2" s="12">
        <f>$K$1*((1+$K$2)^G2-1)/$K$2+E2</f>
        <v>23703.638251047509</v>
      </c>
      <c r="G2" s="27">
        <v>12</v>
      </c>
      <c r="H2">
        <v>1</v>
      </c>
      <c r="J2" t="s">
        <v>61</v>
      </c>
      <c r="K2">
        <f>0.015/12*0.85</f>
        <v>1.0625000000000001E-3</v>
      </c>
    </row>
    <row r="3" spans="1:11" x14ac:dyDescent="0.25">
      <c r="A3" s="3">
        <v>2019</v>
      </c>
      <c r="B3" s="12">
        <f t="shared" ref="B3:B11" si="0">F2</f>
        <v>23703.638251047509</v>
      </c>
      <c r="C3" s="12">
        <v>21577</v>
      </c>
      <c r="D3" s="12">
        <f>F3-C3-F2-2000</f>
        <v>407.10747026877652</v>
      </c>
      <c r="E3" s="4">
        <f t="shared" ref="E3:E11" si="1">2000*((1+$K$2)^H3-1)/$K$2</f>
        <v>4002.1249999999409</v>
      </c>
      <c r="F3" s="12">
        <f>$K$1*((1+$K$2)^G3-1)/$K$2+E3</f>
        <v>47687.745721316285</v>
      </c>
      <c r="G3">
        <v>24</v>
      </c>
      <c r="H3">
        <v>2</v>
      </c>
    </row>
    <row r="4" spans="1:11" x14ac:dyDescent="0.25">
      <c r="A4" s="3">
        <v>2020</v>
      </c>
      <c r="B4" s="12">
        <f t="shared" si="0"/>
        <v>47687.745721316285</v>
      </c>
      <c r="C4" s="12">
        <v>21577</v>
      </c>
      <c r="D4" s="12">
        <f t="shared" ref="D4:D11" si="2">F4-C4-F3-2000</f>
        <v>691.14864854200277</v>
      </c>
      <c r="E4" s="4">
        <f t="shared" si="1"/>
        <v>6006.3772578122525</v>
      </c>
      <c r="F4" s="12">
        <f t="shared" ref="F4:F11" si="3">$K$1*((1+$K$2)^G4-1)/$K$2+E4</f>
        <v>71955.894369858288</v>
      </c>
      <c r="G4">
        <v>36</v>
      </c>
      <c r="H4">
        <v>3</v>
      </c>
    </row>
    <row r="5" spans="1:11" x14ac:dyDescent="0.25">
      <c r="A5" s="3">
        <v>2021</v>
      </c>
      <c r="B5" s="12">
        <f t="shared" si="0"/>
        <v>71955.894369858288</v>
      </c>
      <c r="C5" s="12">
        <v>21577</v>
      </c>
      <c r="D5" s="12">
        <f t="shared" si="2"/>
        <v>978.80756887220195</v>
      </c>
      <c r="E5" s="4">
        <f t="shared" si="1"/>
        <v>8012.7590336486519</v>
      </c>
      <c r="F5" s="12">
        <f t="shared" si="3"/>
        <v>96511.70193873049</v>
      </c>
      <c r="G5">
        <v>48</v>
      </c>
      <c r="H5">
        <v>4</v>
      </c>
    </row>
    <row r="6" spans="1:11" x14ac:dyDescent="0.25">
      <c r="A6" s="3">
        <v>2022</v>
      </c>
      <c r="B6" s="12">
        <f t="shared" si="0"/>
        <v>96511.70193873049</v>
      </c>
      <c r="C6" s="12">
        <v>21577</v>
      </c>
      <c r="D6" s="12">
        <f t="shared" si="2"/>
        <v>1270.1306013923895</v>
      </c>
      <c r="E6" s="4">
        <f t="shared" si="1"/>
        <v>10021.272590121722</v>
      </c>
      <c r="F6" s="12">
        <f t="shared" si="3"/>
        <v>121358.83254012288</v>
      </c>
      <c r="G6">
        <v>60</v>
      </c>
      <c r="H6">
        <v>5</v>
      </c>
    </row>
    <row r="7" spans="1:11" x14ac:dyDescent="0.25">
      <c r="A7" s="3">
        <v>2023</v>
      </c>
      <c r="B7" s="12">
        <f t="shared" si="0"/>
        <v>121358.83254012288</v>
      </c>
      <c r="C7" s="12">
        <v>21577</v>
      </c>
      <c r="D7" s="12">
        <f t="shared" si="2"/>
        <v>1565.1647108943434</v>
      </c>
      <c r="E7" s="4">
        <f t="shared" si="1"/>
        <v>12031.920192249019</v>
      </c>
      <c r="F7" s="12">
        <f t="shared" si="3"/>
        <v>146500.99725101722</v>
      </c>
      <c r="G7">
        <v>72</v>
      </c>
      <c r="H7">
        <v>6</v>
      </c>
    </row>
    <row r="8" spans="1:11" x14ac:dyDescent="0.25">
      <c r="A8" s="3">
        <v>2024</v>
      </c>
      <c r="B8" s="12">
        <f t="shared" si="0"/>
        <v>146500.99725101722</v>
      </c>
      <c r="C8" s="12">
        <v>21577</v>
      </c>
      <c r="D8" s="12">
        <f t="shared" si="2"/>
        <v>1863.9574644513777</v>
      </c>
      <c r="E8" s="4">
        <f t="shared" si="1"/>
        <v>14044.704107453084</v>
      </c>
      <c r="F8" s="12">
        <f t="shared" si="3"/>
        <v>171941.9547154686</v>
      </c>
      <c r="G8">
        <v>84</v>
      </c>
      <c r="H8">
        <v>7</v>
      </c>
    </row>
    <row r="9" spans="1:11" x14ac:dyDescent="0.25">
      <c r="A9" s="3">
        <v>2025</v>
      </c>
      <c r="B9" s="12">
        <f t="shared" si="0"/>
        <v>171941.9547154686</v>
      </c>
      <c r="C9" s="12">
        <v>21577</v>
      </c>
      <c r="D9" s="12">
        <f t="shared" si="2"/>
        <v>2166.5570391505025</v>
      </c>
      <c r="E9" s="4">
        <f t="shared" si="1"/>
        <v>16059.626605566864</v>
      </c>
      <c r="F9" s="12">
        <f t="shared" si="3"/>
        <v>197685.5117546191</v>
      </c>
      <c r="G9">
        <v>96</v>
      </c>
      <c r="H9">
        <v>8</v>
      </c>
      <c r="I9" s="20"/>
    </row>
    <row r="10" spans="1:11" x14ac:dyDescent="0.25">
      <c r="A10" s="3">
        <v>2026</v>
      </c>
      <c r="B10" s="12">
        <f t="shared" si="0"/>
        <v>197685.5117546191</v>
      </c>
      <c r="C10" s="12">
        <v>21577</v>
      </c>
      <c r="D10" s="12">
        <f t="shared" si="2"/>
        <v>2473.0122299069189</v>
      </c>
      <c r="E10" s="4">
        <f t="shared" si="1"/>
        <v>18076.689958835392</v>
      </c>
      <c r="F10" s="12">
        <f t="shared" si="3"/>
        <v>223735.52398452602</v>
      </c>
      <c r="G10">
        <v>108</v>
      </c>
      <c r="H10">
        <v>9</v>
      </c>
      <c r="I10" s="20"/>
    </row>
    <row r="11" spans="1:11" x14ac:dyDescent="0.25">
      <c r="A11" s="3">
        <v>2027</v>
      </c>
      <c r="B11" s="12">
        <f t="shared" si="0"/>
        <v>223735.52398452602</v>
      </c>
      <c r="C11" s="12">
        <v>21577</v>
      </c>
      <c r="D11" s="12">
        <f t="shared" si="2"/>
        <v>2783.3724573905929</v>
      </c>
      <c r="E11" s="4">
        <f t="shared" si="1"/>
        <v>20095.896441916619</v>
      </c>
      <c r="F11" s="12">
        <f t="shared" si="3"/>
        <v>250095.89644191662</v>
      </c>
      <c r="G11">
        <v>120</v>
      </c>
      <c r="H11">
        <v>10</v>
      </c>
    </row>
    <row r="12" spans="1:11" x14ac:dyDescent="0.25">
      <c r="A12" s="4" t="s">
        <v>30</v>
      </c>
      <c r="B12" s="4"/>
      <c r="C12" s="12">
        <f>SUM(C2:C11)</f>
        <v>215770</v>
      </c>
      <c r="D12" s="4"/>
      <c r="E12" s="12">
        <f>E11</f>
        <v>20095.896441916619</v>
      </c>
      <c r="F12" s="4">
        <f>F11</f>
        <v>250095.89644191662</v>
      </c>
    </row>
    <row r="14" spans="1:11" x14ac:dyDescent="0.25">
      <c r="F14" s="20"/>
    </row>
    <row r="15" spans="1:11" x14ac:dyDescent="0.25">
      <c r="A15" s="3" t="s">
        <v>125</v>
      </c>
      <c r="B15" s="3" t="s">
        <v>26</v>
      </c>
      <c r="C15" s="3" t="s">
        <v>27</v>
      </c>
      <c r="D15" s="3" t="s">
        <v>36</v>
      </c>
      <c r="E15" s="3" t="s">
        <v>28</v>
      </c>
      <c r="F15" s="3" t="s">
        <v>89</v>
      </c>
      <c r="G15" s="3" t="s">
        <v>90</v>
      </c>
    </row>
    <row r="16" spans="1:11" x14ac:dyDescent="0.25">
      <c r="A16" s="3" t="s">
        <v>55</v>
      </c>
      <c r="B16" s="4">
        <v>50000</v>
      </c>
      <c r="C16" s="4">
        <f>B17</f>
        <v>50249.999999999993</v>
      </c>
      <c r="D16" s="4">
        <f t="shared" ref="D16:F16" si="4">C17</f>
        <v>50752.499999999993</v>
      </c>
      <c r="E16" s="4">
        <f t="shared" si="4"/>
        <v>51513.787499999991</v>
      </c>
      <c r="F16" s="4">
        <f t="shared" si="4"/>
        <v>52544.063249999992</v>
      </c>
      <c r="G16" s="4">
        <f>F17</f>
        <v>53857.664831249989</v>
      </c>
    </row>
    <row r="17" spans="1:9" x14ac:dyDescent="0.25">
      <c r="A17" s="3" t="s">
        <v>88</v>
      </c>
      <c r="B17" s="4">
        <f>B16*(1+B18)</f>
        <v>50249.999999999993</v>
      </c>
      <c r="C17" s="4">
        <f>C16*(1+C18)</f>
        <v>50752.499999999993</v>
      </c>
      <c r="D17" s="4">
        <f t="shared" ref="D17:G17" si="5">D16*(1+D18)</f>
        <v>51513.787499999991</v>
      </c>
      <c r="E17" s="4">
        <f t="shared" si="5"/>
        <v>52544.063249999992</v>
      </c>
      <c r="F17" s="4">
        <f t="shared" si="5"/>
        <v>53857.664831249989</v>
      </c>
      <c r="G17" s="4">
        <f t="shared" si="5"/>
        <v>55473.394776187488</v>
      </c>
      <c r="I17" s="20"/>
    </row>
    <row r="18" spans="1:9" x14ac:dyDescent="0.25">
      <c r="A18" s="3" t="s">
        <v>61</v>
      </c>
      <c r="B18" s="3">
        <v>5.0000000000000001E-3</v>
      </c>
      <c r="C18" s="3">
        <f>B18+0.005</f>
        <v>0.01</v>
      </c>
      <c r="D18" s="3">
        <f t="shared" ref="D18:G18" si="6">C18+0.005</f>
        <v>1.4999999999999999E-2</v>
      </c>
      <c r="E18" s="3">
        <f t="shared" si="6"/>
        <v>0.02</v>
      </c>
      <c r="F18" s="3">
        <f t="shared" si="6"/>
        <v>2.5000000000000001E-2</v>
      </c>
      <c r="G18" s="3">
        <f t="shared" si="6"/>
        <v>3.0000000000000002E-2</v>
      </c>
    </row>
    <row r="19" spans="1:9" x14ac:dyDescent="0.25">
      <c r="F19" s="20"/>
    </row>
    <row r="20" spans="1:9" x14ac:dyDescent="0.25">
      <c r="A20" s="3" t="s">
        <v>126</v>
      </c>
      <c r="B20" s="3" t="s">
        <v>26</v>
      </c>
      <c r="C20" s="3" t="s">
        <v>27</v>
      </c>
      <c r="D20" s="3" t="s">
        <v>36</v>
      </c>
    </row>
    <row r="21" spans="1:9" x14ac:dyDescent="0.25">
      <c r="A21" s="3" t="s">
        <v>55</v>
      </c>
      <c r="B21" s="4">
        <v>20000</v>
      </c>
      <c r="C21" s="4">
        <f>B22</f>
        <v>20099.999999999996</v>
      </c>
      <c r="D21" s="4">
        <f t="shared" ref="D21" si="7">C22</f>
        <v>20300.999999999996</v>
      </c>
    </row>
    <row r="22" spans="1:9" x14ac:dyDescent="0.25">
      <c r="A22" s="3" t="s">
        <v>88</v>
      </c>
      <c r="B22" s="4">
        <f>B21*(1+B23)</f>
        <v>20099.999999999996</v>
      </c>
      <c r="C22" s="4">
        <f>C21*(1+C23)</f>
        <v>20300.999999999996</v>
      </c>
      <c r="D22" s="4">
        <f t="shared" ref="D22" si="8">D21*(1+D23)</f>
        <v>20605.514999999996</v>
      </c>
    </row>
    <row r="23" spans="1:9" x14ac:dyDescent="0.25">
      <c r="A23" s="3" t="s">
        <v>61</v>
      </c>
      <c r="B23" s="3">
        <v>5.0000000000000001E-3</v>
      </c>
      <c r="C23" s="3">
        <f>B23+0.005</f>
        <v>0.01</v>
      </c>
      <c r="D23" s="3">
        <f t="shared" ref="D23" si="9">C23+0.005</f>
        <v>1.4999999999999999E-2</v>
      </c>
    </row>
    <row r="24" spans="1:9" x14ac:dyDescent="0.25">
      <c r="F24" s="20"/>
    </row>
    <row r="25" spans="1:9" x14ac:dyDescent="0.25">
      <c r="F25" s="20"/>
    </row>
    <row r="26" spans="1:9" x14ac:dyDescent="0.25">
      <c r="F26" s="20"/>
    </row>
    <row r="27" spans="1:9" x14ac:dyDescent="0.25">
      <c r="F27" s="20"/>
    </row>
    <row r="28" spans="1:9" x14ac:dyDescent="0.25">
      <c r="B28">
        <f>250000*(1.0204)^3</f>
        <v>265614.24241599999</v>
      </c>
      <c r="F28" s="20"/>
    </row>
    <row r="29" spans="1:9" x14ac:dyDescent="0.25">
      <c r="F29" s="20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4384-C125-4478-8A59-FF7CA7B6A1D9}">
  <dimension ref="A1:N19"/>
  <sheetViews>
    <sheetView zoomScale="130" zoomScaleNormal="130" workbookViewId="0">
      <selection activeCell="H15" sqref="H15"/>
    </sheetView>
  </sheetViews>
  <sheetFormatPr defaultColWidth="20.7109375" defaultRowHeight="15" x14ac:dyDescent="0.25"/>
  <cols>
    <col min="1" max="1" width="31.5703125" style="1" bestFit="1" customWidth="1"/>
    <col min="2" max="11" width="9.42578125" style="1" bestFit="1" customWidth="1"/>
    <col min="12" max="12" width="10.85546875" style="1" bestFit="1" customWidth="1"/>
    <col min="13" max="13" width="9.42578125" style="1" bestFit="1" customWidth="1"/>
    <col min="14" max="16384" width="20.7109375" style="1"/>
  </cols>
  <sheetData>
    <row r="1" spans="1:14" x14ac:dyDescent="0.25">
      <c r="A1" s="80" t="s">
        <v>120</v>
      </c>
      <c r="B1" s="80">
        <v>2018</v>
      </c>
      <c r="C1" s="80">
        <v>2019</v>
      </c>
      <c r="D1" s="80">
        <v>2020</v>
      </c>
      <c r="E1" s="80">
        <v>2021</v>
      </c>
      <c r="F1" s="80">
        <v>2022</v>
      </c>
      <c r="G1" s="80">
        <v>2023</v>
      </c>
      <c r="H1" s="80">
        <v>2024</v>
      </c>
      <c r="I1" s="80">
        <v>2025</v>
      </c>
      <c r="J1" s="80">
        <v>2026</v>
      </c>
      <c r="K1" s="80">
        <v>2027</v>
      </c>
      <c r="L1" s="80">
        <v>2028</v>
      </c>
      <c r="M1" s="3" t="s">
        <v>37</v>
      </c>
    </row>
    <row r="2" spans="1:14" x14ac:dyDescent="0.25">
      <c r="A2" s="77" t="s">
        <v>114</v>
      </c>
      <c r="B2" s="78">
        <v>203006</v>
      </c>
      <c r="C2" s="78">
        <f>B2+'Scénář 36 měsíců'!J29</f>
        <v>209985.89090540074</v>
      </c>
      <c r="D2" s="78">
        <f>C2+'Scénář 36 měsíců'!K29</f>
        <v>187099.94218745199</v>
      </c>
      <c r="E2" s="78">
        <f>D2+'Scénář 36 měsíců'!L29</f>
        <v>164613.99346950324</v>
      </c>
      <c r="F2" s="78">
        <f>E2+'Scénář 36 měsíců'!M29</f>
        <v>142028.04475155449</v>
      </c>
      <c r="G2" s="78">
        <f>F2+'Scénář 36 měsíců'!N29</f>
        <v>132445.55757206737</v>
      </c>
      <c r="H2" s="78">
        <f>G2+'Scénář 36 měsíců'!O29</f>
        <v>337040.55757206737</v>
      </c>
      <c r="I2" s="78">
        <f>H2+'Scénář 36 měsíců'!P29</f>
        <v>189192.55757206737</v>
      </c>
      <c r="J2" s="78">
        <f>I2+'Scénář 36 měsíců'!Q29</f>
        <v>287644.55757206737</v>
      </c>
      <c r="K2" s="78">
        <f>J2+'Scénář 36 měsíců'!R29</f>
        <v>386596.55757206737</v>
      </c>
      <c r="L2" s="78">
        <f>K2+'Scénář 36 měsíců'!S29</f>
        <v>1049041.5575720672</v>
      </c>
      <c r="M2" s="12">
        <f>AVERAGE(B2:L2)</f>
        <v>298972.2924314831</v>
      </c>
      <c r="N2" s="58"/>
    </row>
    <row r="3" spans="1:14" x14ac:dyDescent="0.25">
      <c r="A3" s="77" t="s">
        <v>116</v>
      </c>
      <c r="B3" s="78">
        <v>203006</v>
      </c>
      <c r="C3" s="78">
        <f>217319.333333333</f>
        <v>217319.33333333299</v>
      </c>
      <c r="D3" s="78">
        <f>C3+D8</f>
        <v>216484.66666666628</v>
      </c>
      <c r="E3" s="78">
        <f>D3+E8</f>
        <v>216049.99999999959</v>
      </c>
      <c r="F3" s="78">
        <f>E3+F8</f>
        <v>177848.66666666622</v>
      </c>
      <c r="G3" s="78">
        <f>F3+G8</f>
        <v>154445.66666666628</v>
      </c>
      <c r="H3" s="78">
        <f>G3+H7</f>
        <v>359040.66666666628</v>
      </c>
      <c r="I3" s="78">
        <f>H3+I7</f>
        <v>211192.66666666628</v>
      </c>
      <c r="J3" s="78">
        <f>I3+J7</f>
        <v>309644.66666666628</v>
      </c>
      <c r="K3" s="78">
        <f>J3+K7</f>
        <v>408596.66666666628</v>
      </c>
      <c r="L3" s="78">
        <f>K3+L7</f>
        <v>1071041.6666666663</v>
      </c>
      <c r="M3" s="12">
        <f t="shared" ref="M3:M4" si="0">AVERAGE(B3:L3)</f>
        <v>322242.78787878749</v>
      </c>
      <c r="N3" s="58"/>
    </row>
    <row r="4" spans="1:14" x14ac:dyDescent="0.25">
      <c r="A4" s="77" t="s">
        <v>115</v>
      </c>
      <c r="B4" s="78">
        <v>203006</v>
      </c>
      <c r="C4" s="78">
        <v>235652.66666666666</v>
      </c>
      <c r="D4" s="78">
        <f>C4+D9</f>
        <v>292818</v>
      </c>
      <c r="E4" s="78">
        <f>D4+E9</f>
        <v>268716.66666666663</v>
      </c>
      <c r="F4" s="78">
        <f>E4+F9</f>
        <v>174848.6666666666</v>
      </c>
      <c r="G4" s="78">
        <f>F4+G9</f>
        <v>151445.66666666666</v>
      </c>
      <c r="H4" s="78">
        <f>G4+H7</f>
        <v>356040.66666666663</v>
      </c>
      <c r="I4" s="78">
        <f>H4+I7</f>
        <v>208192.66666666663</v>
      </c>
      <c r="J4" s="78">
        <f>I4+J7</f>
        <v>306644.66666666663</v>
      </c>
      <c r="K4" s="78">
        <f>J4+K7</f>
        <v>405596.66666666663</v>
      </c>
      <c r="L4" s="78">
        <f>K4+L7</f>
        <v>1068041.6666666665</v>
      </c>
      <c r="M4" s="12">
        <f t="shared" si="0"/>
        <v>333727.63636363629</v>
      </c>
      <c r="N4" s="58"/>
    </row>
    <row r="5" spans="1:14" x14ac:dyDescent="0.25">
      <c r="B5" s="58"/>
      <c r="C5" s="58"/>
      <c r="D5" s="58"/>
      <c r="E5" s="58"/>
      <c r="F5" s="58"/>
      <c r="G5" s="58"/>
    </row>
    <row r="6" spans="1:14" x14ac:dyDescent="0.25">
      <c r="A6" s="3" t="s">
        <v>23</v>
      </c>
      <c r="B6" s="64">
        <v>2018</v>
      </c>
      <c r="C6" s="57">
        <v>2019</v>
      </c>
      <c r="D6" s="57">
        <v>2020</v>
      </c>
      <c r="E6" s="57">
        <v>2021</v>
      </c>
      <c r="F6" s="57">
        <v>2022</v>
      </c>
      <c r="G6" s="57">
        <v>2023</v>
      </c>
      <c r="H6" s="57">
        <v>2024</v>
      </c>
      <c r="I6" s="57">
        <v>2025</v>
      </c>
      <c r="J6" s="57">
        <v>2026</v>
      </c>
      <c r="K6" s="57">
        <v>2027</v>
      </c>
      <c r="L6" s="57">
        <v>2028</v>
      </c>
      <c r="M6" s="3" t="s">
        <v>37</v>
      </c>
    </row>
    <row r="7" spans="1:14" x14ac:dyDescent="0.25">
      <c r="A7" s="3" t="s">
        <v>119</v>
      </c>
      <c r="B7" s="4">
        <v>133006</v>
      </c>
      <c r="C7" s="4">
        <v>6980</v>
      </c>
      <c r="D7" s="4">
        <f>'2020-2023'!B29</f>
        <v>-22885.948717948748</v>
      </c>
      <c r="E7" s="4">
        <f>'2020-2023'!C29</f>
        <v>-22485.948717948748</v>
      </c>
      <c r="F7" s="4">
        <f>'2020-2023'!D29</f>
        <v>-22585.948717948748</v>
      </c>
      <c r="G7" s="4">
        <f>'2020-2023'!E29</f>
        <v>-9582.4871794871287</v>
      </c>
      <c r="H7" s="4">
        <v>204595</v>
      </c>
      <c r="I7" s="4">
        <v>-147848</v>
      </c>
      <c r="J7" s="4">
        <v>98452</v>
      </c>
      <c r="K7" s="4">
        <v>98952</v>
      </c>
      <c r="L7" s="4">
        <v>662445</v>
      </c>
      <c r="M7" s="12">
        <f>AVERAGE(B7:L7)</f>
        <v>89003.787878787873</v>
      </c>
    </row>
    <row r="8" spans="1:14" x14ac:dyDescent="0.25">
      <c r="A8" s="3" t="s">
        <v>118</v>
      </c>
      <c r="B8" s="4">
        <v>133006</v>
      </c>
      <c r="C8" s="4">
        <v>14313.333333333343</v>
      </c>
      <c r="D8" s="4">
        <v>-834.66666666670062</v>
      </c>
      <c r="E8" s="4">
        <v>-434.66666666670062</v>
      </c>
      <c r="F8" s="4">
        <v>-38201.333333333365</v>
      </c>
      <c r="G8" s="4">
        <v>-23402.999999999949</v>
      </c>
      <c r="H8" s="4">
        <v>204595</v>
      </c>
      <c r="I8" s="4">
        <v>-147848</v>
      </c>
      <c r="J8" s="4">
        <v>98452</v>
      </c>
      <c r="K8" s="4">
        <v>98952</v>
      </c>
      <c r="L8" s="4">
        <v>662445</v>
      </c>
      <c r="M8" s="12">
        <f t="shared" ref="M8:M9" si="1">AVERAGE(B8:L8)</f>
        <v>91003.787878787873</v>
      </c>
    </row>
    <row r="9" spans="1:14" x14ac:dyDescent="0.25">
      <c r="A9" s="3" t="s">
        <v>117</v>
      </c>
      <c r="B9" s="4">
        <v>133006</v>
      </c>
      <c r="C9" s="4">
        <v>32646.666666666657</v>
      </c>
      <c r="D9" s="4">
        <v>57165.333333333314</v>
      </c>
      <c r="E9" s="4">
        <v>-24101.333333333358</v>
      </c>
      <c r="F9" s="4">
        <v>-93868.000000000029</v>
      </c>
      <c r="G9" s="4">
        <v>-23402.999999999949</v>
      </c>
      <c r="H9" s="4">
        <v>204595</v>
      </c>
      <c r="I9" s="4">
        <v>-147848</v>
      </c>
      <c r="J9" s="4">
        <v>98452</v>
      </c>
      <c r="K9" s="4">
        <v>98952</v>
      </c>
      <c r="L9" s="4">
        <v>662445</v>
      </c>
      <c r="M9" s="12">
        <f t="shared" si="1"/>
        <v>90731.060606060608</v>
      </c>
    </row>
    <row r="16" spans="1:14" x14ac:dyDescent="0.25">
      <c r="C16" s="65"/>
    </row>
    <row r="17" spans="3:8" x14ac:dyDescent="0.25">
      <c r="C17" s="65"/>
      <c r="H17" s="65"/>
    </row>
    <row r="18" spans="3:8" x14ac:dyDescent="0.25">
      <c r="C18" s="65"/>
      <c r="H18" s="65"/>
    </row>
    <row r="19" spans="3:8" x14ac:dyDescent="0.25">
      <c r="H19" s="65"/>
    </row>
  </sheetData>
  <conditionalFormatting sqref="O10:O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049E5-1AAC-4E39-93B2-70048D6C02E1}">
  <dimension ref="A1:M31"/>
  <sheetViews>
    <sheetView zoomScale="115" zoomScaleNormal="115" workbookViewId="0">
      <selection activeCell="G34" sqref="G34"/>
    </sheetView>
  </sheetViews>
  <sheetFormatPr defaultColWidth="20.7109375" defaultRowHeight="15" x14ac:dyDescent="0.25"/>
  <cols>
    <col min="1" max="1" width="22.140625" style="50" bestFit="1" customWidth="1"/>
    <col min="2" max="16384" width="20.7109375" style="50"/>
  </cols>
  <sheetData>
    <row r="1" spans="1:13" x14ac:dyDescent="0.25">
      <c r="A1" s="48" t="s">
        <v>103</v>
      </c>
      <c r="B1" s="49">
        <v>39208.998548621181</v>
      </c>
    </row>
    <row r="2" spans="1:13" x14ac:dyDescent="0.25">
      <c r="A2" s="48" t="s">
        <v>104</v>
      </c>
      <c r="B2" s="49">
        <f>B1-0.065*B1-0.045*B1-B1*1.34*0.15+2070</f>
        <v>29084.999999999993</v>
      </c>
    </row>
    <row r="3" spans="1:13" x14ac:dyDescent="0.25">
      <c r="A3" s="48" t="s">
        <v>105</v>
      </c>
      <c r="B3" s="49">
        <v>847</v>
      </c>
      <c r="C3" s="63" t="s">
        <v>123</v>
      </c>
    </row>
    <row r="5" spans="1:13" x14ac:dyDescent="0.25">
      <c r="A5" s="152" t="s">
        <v>106</v>
      </c>
      <c r="B5" s="48" t="s">
        <v>64</v>
      </c>
      <c r="C5" s="48" t="s">
        <v>65</v>
      </c>
      <c r="D5" s="48" t="s">
        <v>66</v>
      </c>
      <c r="E5" s="48" t="s">
        <v>67</v>
      </c>
      <c r="F5" s="48" t="s">
        <v>68</v>
      </c>
      <c r="G5" s="48" t="s">
        <v>84</v>
      </c>
      <c r="H5" s="48" t="s">
        <v>69</v>
      </c>
      <c r="I5" s="48" t="s">
        <v>70</v>
      </c>
      <c r="J5" s="48" t="s">
        <v>71</v>
      </c>
      <c r="K5" s="48" t="s">
        <v>72</v>
      </c>
      <c r="L5" s="48" t="s">
        <v>73</v>
      </c>
      <c r="M5" s="48" t="s">
        <v>74</v>
      </c>
    </row>
    <row r="6" spans="1:13" x14ac:dyDescent="0.25">
      <c r="A6" s="152"/>
      <c r="B6" s="48">
        <v>31</v>
      </c>
      <c r="C6" s="48">
        <v>28</v>
      </c>
      <c r="D6" s="48">
        <v>31</v>
      </c>
      <c r="E6" s="48">
        <v>30</v>
      </c>
      <c r="F6" s="48">
        <v>31</v>
      </c>
      <c r="G6" s="48">
        <v>30</v>
      </c>
      <c r="H6" s="48">
        <v>31</v>
      </c>
      <c r="I6" s="48">
        <v>31</v>
      </c>
      <c r="J6" s="48">
        <v>30</v>
      </c>
      <c r="K6" s="48">
        <v>31</v>
      </c>
      <c r="L6" s="48">
        <v>30</v>
      </c>
      <c r="M6" s="48">
        <v>31</v>
      </c>
    </row>
    <row r="7" spans="1:13" x14ac:dyDescent="0.25">
      <c r="A7" s="48" t="s">
        <v>127</v>
      </c>
      <c r="B7" s="52">
        <f>B6*$B$3</f>
        <v>26257</v>
      </c>
      <c r="C7" s="52">
        <f t="shared" ref="C7:G7" si="0">C6*$B$3</f>
        <v>23716</v>
      </c>
      <c r="D7" s="52">
        <f t="shared" si="0"/>
        <v>26257</v>
      </c>
      <c r="E7" s="52">
        <f t="shared" si="0"/>
        <v>25410</v>
      </c>
      <c r="F7" s="52">
        <f t="shared" si="0"/>
        <v>26257</v>
      </c>
      <c r="G7" s="52">
        <f t="shared" si="0"/>
        <v>25410</v>
      </c>
    </row>
    <row r="9" spans="1:13" x14ac:dyDescent="0.25">
      <c r="A9" s="48">
        <v>2019</v>
      </c>
      <c r="B9" s="48">
        <v>45</v>
      </c>
      <c r="C9" s="48">
        <v>36</v>
      </c>
      <c r="D9" s="48">
        <v>24</v>
      </c>
    </row>
    <row r="10" spans="1:13" x14ac:dyDescent="0.25">
      <c r="A10" s="48" t="s">
        <v>107</v>
      </c>
      <c r="B10" s="49">
        <f>220000/B9</f>
        <v>4888.8888888888887</v>
      </c>
      <c r="C10" s="49">
        <f t="shared" ref="C10:D10" si="1">220000/C9</f>
        <v>6111.1111111111113</v>
      </c>
      <c r="D10" s="49">
        <f t="shared" si="1"/>
        <v>9166.6666666666661</v>
      </c>
    </row>
    <row r="12" spans="1:13" x14ac:dyDescent="0.25">
      <c r="A12" s="48" t="s">
        <v>108</v>
      </c>
      <c r="B12" s="48">
        <f>B9-6</f>
        <v>39</v>
      </c>
      <c r="C12" s="48">
        <f>C9-6</f>
        <v>30</v>
      </c>
      <c r="D12" s="48">
        <f>D9-6</f>
        <v>18</v>
      </c>
      <c r="F12" s="50" t="s">
        <v>109</v>
      </c>
    </row>
    <row r="13" spans="1:13" x14ac:dyDescent="0.25">
      <c r="A13" s="48" t="s">
        <v>107</v>
      </c>
      <c r="B13" s="49">
        <f>(300000-6*B10)/B12</f>
        <v>6940.1709401709404</v>
      </c>
      <c r="C13" s="49">
        <f t="shared" ref="C13:D13" si="2">(300000-6*C10)/C12</f>
        <v>8777.7777777777774</v>
      </c>
      <c r="D13" s="49">
        <f t="shared" si="2"/>
        <v>13611.111111111111</v>
      </c>
    </row>
    <row r="14" spans="1:13" x14ac:dyDescent="0.25">
      <c r="A14" s="48" t="s">
        <v>110</v>
      </c>
      <c r="B14" s="52">
        <f>B10*6+B12*B13</f>
        <v>300000</v>
      </c>
      <c r="C14" s="52">
        <f>6*C10+C12*C13</f>
        <v>300000</v>
      </c>
      <c r="D14" s="52">
        <f>6*D10+D12*D13</f>
        <v>300000</v>
      </c>
    </row>
    <row r="16" spans="1:13" x14ac:dyDescent="0.25">
      <c r="A16" s="48"/>
      <c r="B16" s="48">
        <v>2019</v>
      </c>
      <c r="C16" s="48">
        <v>2020</v>
      </c>
      <c r="D16" s="48">
        <v>2021</v>
      </c>
      <c r="E16" s="48">
        <v>2022</v>
      </c>
      <c r="F16" s="48">
        <v>2023</v>
      </c>
    </row>
    <row r="17" spans="1:8" ht="30" x14ac:dyDescent="0.25">
      <c r="A17" s="53" t="s">
        <v>111</v>
      </c>
      <c r="B17" s="48">
        <v>6</v>
      </c>
      <c r="C17" s="48">
        <v>12</v>
      </c>
      <c r="D17" s="48">
        <v>12</v>
      </c>
      <c r="E17" s="48">
        <v>12</v>
      </c>
      <c r="F17" s="48">
        <v>3</v>
      </c>
      <c r="G17" s="51"/>
    </row>
    <row r="18" spans="1:8" x14ac:dyDescent="0.25">
      <c r="A18" s="48" t="s">
        <v>112</v>
      </c>
      <c r="B18" s="48">
        <f>9/12</f>
        <v>0.75</v>
      </c>
      <c r="C18" s="48">
        <f>21/12</f>
        <v>1.75</v>
      </c>
      <c r="D18" s="48">
        <f>33/12</f>
        <v>2.75</v>
      </c>
      <c r="E18" s="54">
        <f>45/12</f>
        <v>3.75</v>
      </c>
      <c r="F18" s="55">
        <f>48/12</f>
        <v>4</v>
      </c>
      <c r="H18" s="50" t="s">
        <v>113</v>
      </c>
    </row>
    <row r="20" spans="1:8" x14ac:dyDescent="0.25">
      <c r="H20" s="51"/>
    </row>
    <row r="23" spans="1:8" x14ac:dyDescent="0.25">
      <c r="B23" s="51"/>
      <c r="G23" s="51"/>
    </row>
    <row r="24" spans="1:8" x14ac:dyDescent="0.25">
      <c r="B24" s="51"/>
    </row>
    <row r="25" spans="1:8" x14ac:dyDescent="0.25">
      <c r="E25" s="51"/>
    </row>
    <row r="30" spans="1:8" x14ac:dyDescent="0.25">
      <c r="E30" s="56"/>
      <c r="F30" s="56"/>
    </row>
    <row r="31" spans="1:8" x14ac:dyDescent="0.25">
      <c r="E31" s="56"/>
      <c r="F31" s="56"/>
    </row>
  </sheetData>
  <mergeCells count="1">
    <mergeCell ref="A5:A6"/>
  </mergeCells>
  <hyperlinks>
    <hyperlink ref="C3" r:id="rId1" location="materska" display="https://www.penize.cz/materska-dovolena/402648-materska-2019-kalkulacka-penezite-pomoci-v-materstvi-a-prehled-pravidel - materska" xr:uid="{0B87E9FF-2A7A-4862-82C5-81C4ADA048A6}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023E-CDA3-4430-B93F-DEFB38D96E60}">
  <dimension ref="A1:T61"/>
  <sheetViews>
    <sheetView topLeftCell="H1" zoomScale="85" zoomScaleNormal="85" workbookViewId="0">
      <selection activeCell="I1" sqref="I1:I1048576"/>
    </sheetView>
  </sheetViews>
  <sheetFormatPr defaultColWidth="20.7109375" defaultRowHeight="15" x14ac:dyDescent="0.25"/>
  <cols>
    <col min="1" max="1" width="34.28515625" bestFit="1" customWidth="1"/>
    <col min="2" max="6" width="8.7109375" bestFit="1" customWidth="1"/>
    <col min="7" max="7" width="9" bestFit="1" customWidth="1"/>
    <col min="9" max="9" width="35.42578125" bestFit="1" customWidth="1"/>
    <col min="10" max="10" width="35.42578125" customWidth="1"/>
  </cols>
  <sheetData>
    <row r="1" spans="1:20" x14ac:dyDescent="0.25">
      <c r="A1" s="77"/>
      <c r="B1" s="77">
        <v>2019</v>
      </c>
      <c r="C1" s="77">
        <v>2020</v>
      </c>
      <c r="D1" s="77">
        <v>2021</v>
      </c>
      <c r="E1" s="77">
        <v>2022</v>
      </c>
      <c r="F1" s="77">
        <v>2023</v>
      </c>
      <c r="G1" s="77" t="s">
        <v>30</v>
      </c>
      <c r="I1" s="21" t="s">
        <v>142</v>
      </c>
      <c r="J1" s="75">
        <v>2019</v>
      </c>
      <c r="K1" s="5">
        <v>2020</v>
      </c>
      <c r="L1" s="5">
        <v>2021</v>
      </c>
      <c r="M1" s="5">
        <v>2022</v>
      </c>
      <c r="N1" s="5">
        <v>2023</v>
      </c>
      <c r="O1" s="5">
        <v>2024</v>
      </c>
      <c r="P1" s="5">
        <v>2025</v>
      </c>
      <c r="Q1" s="5">
        <v>2026</v>
      </c>
      <c r="R1" s="5">
        <v>2027</v>
      </c>
      <c r="S1" s="6">
        <v>2028</v>
      </c>
      <c r="T1" s="68" t="s">
        <v>30</v>
      </c>
    </row>
    <row r="2" spans="1:20" x14ac:dyDescent="0.25">
      <c r="A2" s="80" t="s">
        <v>119</v>
      </c>
      <c r="B2" s="81">
        <v>6980</v>
      </c>
      <c r="C2" s="81">
        <v>-22885.948717948748</v>
      </c>
      <c r="D2" s="81">
        <v>-22485.948717948748</v>
      </c>
      <c r="E2" s="81">
        <v>-22585.948717948748</v>
      </c>
      <c r="F2" s="81">
        <v>-9582.4871794871287</v>
      </c>
      <c r="G2" s="82">
        <f>SUM(B2:F2)</f>
        <v>-70560.333333333372</v>
      </c>
      <c r="I2" s="7" t="s">
        <v>0</v>
      </c>
      <c r="J2" s="2">
        <f>SUM(J3:J6)</f>
        <v>582293.89090540074</v>
      </c>
      <c r="K2" s="2">
        <f>SUM(K3:K6)</f>
        <v>488992.05128205125</v>
      </c>
      <c r="L2" s="2">
        <f t="shared" ref="L2:N2" si="0">SUM(L3:L6)</f>
        <v>488892.05128205125</v>
      </c>
      <c r="M2" s="2">
        <f>SUM(M3:M6)</f>
        <v>488792.05128205125</v>
      </c>
      <c r="N2" s="2">
        <f t="shared" si="0"/>
        <v>688095.51282051287</v>
      </c>
      <c r="O2" s="2">
        <f>SUM(O3:O5)</f>
        <v>756530</v>
      </c>
      <c r="P2" s="2">
        <f t="shared" ref="P2:S2" si="1">SUM(P3:P5)</f>
        <v>755030</v>
      </c>
      <c r="Q2" s="2">
        <f t="shared" si="1"/>
        <v>756330</v>
      </c>
      <c r="R2" s="2">
        <f t="shared" si="1"/>
        <v>756830</v>
      </c>
      <c r="S2" s="8">
        <f t="shared" si="1"/>
        <v>762830</v>
      </c>
      <c r="T2" s="69">
        <f>SUM(J2:S2)</f>
        <v>6524615.5575720668</v>
      </c>
    </row>
    <row r="3" spans="1:20" x14ac:dyDescent="0.25">
      <c r="A3" s="77" t="s">
        <v>128</v>
      </c>
      <c r="B3" s="78">
        <f>J34-J4</f>
        <v>0</v>
      </c>
      <c r="C3" s="78">
        <v>0</v>
      </c>
      <c r="D3" s="78">
        <v>0</v>
      </c>
      <c r="E3" s="78">
        <f>M33-M3</f>
        <v>90000</v>
      </c>
      <c r="F3" s="78">
        <f>N33-N3</f>
        <v>45000</v>
      </c>
      <c r="G3" s="79">
        <f t="shared" ref="G3:G6" si="2">SUM(B3:F3)</f>
        <v>135000</v>
      </c>
      <c r="I3" s="9" t="s">
        <v>1</v>
      </c>
      <c r="J3" s="4">
        <v>396000</v>
      </c>
      <c r="K3" s="4">
        <v>396000</v>
      </c>
      <c r="L3" s="4">
        <v>396000</v>
      </c>
      <c r="M3" s="4">
        <v>396000</v>
      </c>
      <c r="N3" s="4">
        <f>33000*12+9*29085</f>
        <v>657765</v>
      </c>
      <c r="O3" s="4">
        <f>33000*12+29085*12</f>
        <v>745020</v>
      </c>
      <c r="P3" s="4">
        <f t="shared" ref="P3:S3" si="3">33000*12+29085*12</f>
        <v>745020</v>
      </c>
      <c r="Q3" s="4">
        <f t="shared" si="3"/>
        <v>745020</v>
      </c>
      <c r="R3" s="4">
        <f t="shared" si="3"/>
        <v>745020</v>
      </c>
      <c r="S3" s="10">
        <f t="shared" si="3"/>
        <v>745020</v>
      </c>
      <c r="T3" s="70">
        <f t="shared" ref="T3:T29" si="4">SUM(J3:S3)</f>
        <v>5966865</v>
      </c>
    </row>
    <row r="4" spans="1:20" x14ac:dyDescent="0.25">
      <c r="A4" s="77" t="s">
        <v>129</v>
      </c>
      <c r="B4" s="78">
        <f>J35-J5</f>
        <v>7333.3333333334303</v>
      </c>
      <c r="C4" s="78">
        <f t="shared" ref="C4:D4" si="5">K35-K5</f>
        <v>22051.282051282047</v>
      </c>
      <c r="D4" s="78">
        <f t="shared" si="5"/>
        <v>22051.282051282047</v>
      </c>
      <c r="E4" s="78">
        <f t="shared" ref="E4" si="6">M35-M5</f>
        <v>-30615.384615384617</v>
      </c>
      <c r="F4" s="78">
        <f t="shared" ref="F4" si="7">N35-N5</f>
        <v>-20820.51282051282</v>
      </c>
      <c r="G4" s="79">
        <f t="shared" si="2"/>
        <v>8.7311491370201111E-11</v>
      </c>
      <c r="I4" s="9" t="s">
        <v>2</v>
      </c>
      <c r="J4" s="4">
        <v>1620</v>
      </c>
      <c r="K4" s="4">
        <f>(14000+1620)/2</f>
        <v>7810</v>
      </c>
      <c r="L4" s="4">
        <f t="shared" ref="L4:M4" si="8">(14000+1620)/2</f>
        <v>7810</v>
      </c>
      <c r="M4" s="4">
        <f t="shared" si="8"/>
        <v>7810</v>
      </c>
      <c r="N4" s="4">
        <v>7810</v>
      </c>
      <c r="O4" s="4">
        <v>7810</v>
      </c>
      <c r="P4" s="4">
        <v>7810</v>
      </c>
      <c r="Q4" s="4">
        <v>7810</v>
      </c>
      <c r="R4" s="4">
        <v>7810</v>
      </c>
      <c r="S4" s="10">
        <v>7810</v>
      </c>
      <c r="T4" s="70">
        <f t="shared" si="4"/>
        <v>71910</v>
      </c>
    </row>
    <row r="5" spans="1:20" x14ac:dyDescent="0.25">
      <c r="A5" s="77" t="s">
        <v>130</v>
      </c>
      <c r="B5" s="78">
        <v>0</v>
      </c>
      <c r="C5" s="78">
        <v>0</v>
      </c>
      <c r="D5" s="78">
        <v>0</v>
      </c>
      <c r="E5" s="78">
        <f>M55-M25</f>
        <v>-75000</v>
      </c>
      <c r="F5" s="78">
        <f>N55-N25</f>
        <v>-38000</v>
      </c>
      <c r="G5" s="79">
        <f t="shared" si="2"/>
        <v>-113000</v>
      </c>
      <c r="I5" s="9" t="s">
        <v>3</v>
      </c>
      <c r="J5" s="4">
        <v>182640.33333333326</v>
      </c>
      <c r="K5" s="4">
        <f>12*Příspěvky!$B$13</f>
        <v>83282.051282051281</v>
      </c>
      <c r="L5" s="4">
        <f>12*Příspěvky!$B$13</f>
        <v>83282.051282051281</v>
      </c>
      <c r="M5" s="4">
        <f>12*Příspěvky!$B$13</f>
        <v>83282.051282051281</v>
      </c>
      <c r="N5" s="4">
        <f>3*Příspěvky!$B$13</f>
        <v>20820.51282051282</v>
      </c>
      <c r="O5" s="44">
        <v>3700</v>
      </c>
      <c r="P5" s="44">
        <v>2200</v>
      </c>
      <c r="Q5" s="44">
        <v>3500</v>
      </c>
      <c r="R5" s="44">
        <v>4000</v>
      </c>
      <c r="S5" s="74">
        <v>10000</v>
      </c>
      <c r="T5" s="67">
        <f t="shared" si="4"/>
        <v>476706.99999999983</v>
      </c>
    </row>
    <row r="6" spans="1:20" x14ac:dyDescent="0.25">
      <c r="A6" s="80" t="s">
        <v>118</v>
      </c>
      <c r="B6" s="81">
        <f>B2+SUM(B3:B5)</f>
        <v>14313.33333333343</v>
      </c>
      <c r="C6" s="81">
        <f t="shared" ref="C6:F6" si="9">C2+SUM(C3:C5)</f>
        <v>-834.66666666670062</v>
      </c>
      <c r="D6" s="81">
        <f t="shared" si="9"/>
        <v>-434.66666666670062</v>
      </c>
      <c r="E6" s="81">
        <f t="shared" si="9"/>
        <v>-38201.333333333365</v>
      </c>
      <c r="F6" s="81">
        <f t="shared" si="9"/>
        <v>-23402.999999999949</v>
      </c>
      <c r="G6" s="82">
        <f t="shared" si="2"/>
        <v>-48560.333333333285</v>
      </c>
      <c r="I6" s="9" t="s">
        <v>4</v>
      </c>
      <c r="J6" s="44">
        <v>2033.5575720674997</v>
      </c>
      <c r="K6" s="44">
        <v>1900</v>
      </c>
      <c r="L6" s="44">
        <v>1800</v>
      </c>
      <c r="M6" s="44">
        <v>1700</v>
      </c>
      <c r="N6" s="44">
        <v>1700</v>
      </c>
      <c r="O6" s="44">
        <v>0</v>
      </c>
      <c r="P6" s="44">
        <v>0</v>
      </c>
      <c r="Q6" s="44">
        <v>0</v>
      </c>
      <c r="R6" s="44">
        <v>0</v>
      </c>
      <c r="S6" s="74">
        <v>0</v>
      </c>
      <c r="T6" s="67">
        <f t="shared" si="4"/>
        <v>9133.5575720675006</v>
      </c>
    </row>
    <row r="7" spans="1:20" x14ac:dyDescent="0.25">
      <c r="I7" s="7" t="s">
        <v>5</v>
      </c>
      <c r="J7" s="2">
        <v>-270800</v>
      </c>
      <c r="K7" s="2">
        <f>SUM(K8:K14)</f>
        <v>-270800</v>
      </c>
      <c r="L7" s="2">
        <f t="shared" ref="L7:M7" si="10">SUM(L8:L14)</f>
        <v>-270800</v>
      </c>
      <c r="M7" s="2">
        <f t="shared" si="10"/>
        <v>-270800</v>
      </c>
      <c r="N7" s="2">
        <f>SUM(N8:N14)</f>
        <v>-270800</v>
      </c>
      <c r="O7" s="2">
        <f>SUM(O8:O14)</f>
        <v>-270800</v>
      </c>
      <c r="P7" s="2">
        <f t="shared" ref="P7:S7" si="11">SUM(P8:P14)</f>
        <v>-270800</v>
      </c>
      <c r="Q7" s="2">
        <f t="shared" si="11"/>
        <v>-270800</v>
      </c>
      <c r="R7" s="2">
        <f t="shared" si="11"/>
        <v>-270800</v>
      </c>
      <c r="S7" s="8">
        <f t="shared" si="11"/>
        <v>-270800</v>
      </c>
      <c r="T7" s="69">
        <f t="shared" si="4"/>
        <v>-2708000</v>
      </c>
    </row>
    <row r="8" spans="1:20" x14ac:dyDescent="0.25">
      <c r="I8" s="9" t="s">
        <v>6</v>
      </c>
      <c r="J8" s="4">
        <v>-72000</v>
      </c>
      <c r="K8" s="4">
        <v>-72000</v>
      </c>
      <c r="L8" s="4">
        <v>-72000</v>
      </c>
      <c r="M8" s="4">
        <v>-72000</v>
      </c>
      <c r="N8" s="4">
        <v>-72000</v>
      </c>
      <c r="O8" s="4">
        <v>-72000</v>
      </c>
      <c r="P8" s="4">
        <v>-72000</v>
      </c>
      <c r="Q8" s="4">
        <v>-72000</v>
      </c>
      <c r="R8" s="4">
        <v>-72000</v>
      </c>
      <c r="S8" s="10">
        <v>-72000</v>
      </c>
      <c r="T8" s="70">
        <f t="shared" si="4"/>
        <v>-720000</v>
      </c>
    </row>
    <row r="9" spans="1:20" x14ac:dyDescent="0.25">
      <c r="I9" s="9" t="s">
        <v>7</v>
      </c>
      <c r="J9" s="4">
        <v>-7300</v>
      </c>
      <c r="K9" s="4">
        <v>-7300</v>
      </c>
      <c r="L9" s="4">
        <v>-7300</v>
      </c>
      <c r="M9" s="4">
        <v>-7300</v>
      </c>
      <c r="N9" s="4">
        <v>-7300</v>
      </c>
      <c r="O9" s="4">
        <v>-7300</v>
      </c>
      <c r="P9" s="4">
        <v>-7300</v>
      </c>
      <c r="Q9" s="4">
        <v>-7300</v>
      </c>
      <c r="R9" s="4">
        <v>-7300</v>
      </c>
      <c r="S9" s="10">
        <v>-7300</v>
      </c>
      <c r="T9" s="70">
        <f t="shared" si="4"/>
        <v>-73000</v>
      </c>
    </row>
    <row r="10" spans="1:20" x14ac:dyDescent="0.25">
      <c r="I10" s="9" t="s">
        <v>8</v>
      </c>
      <c r="J10" s="4">
        <v>-6000</v>
      </c>
      <c r="K10" s="4">
        <v>-6000</v>
      </c>
      <c r="L10" s="4">
        <v>-6000</v>
      </c>
      <c r="M10" s="4">
        <v>-6000</v>
      </c>
      <c r="N10" s="4">
        <v>-6000</v>
      </c>
      <c r="O10" s="4">
        <v>-6000</v>
      </c>
      <c r="P10" s="4">
        <v>-6000</v>
      </c>
      <c r="Q10" s="4">
        <v>-6000</v>
      </c>
      <c r="R10" s="4">
        <v>-6000</v>
      </c>
      <c r="S10" s="10">
        <v>-6000</v>
      </c>
      <c r="T10" s="70">
        <f t="shared" si="4"/>
        <v>-60000</v>
      </c>
    </row>
    <row r="11" spans="1:20" x14ac:dyDescent="0.25">
      <c r="I11" s="9" t="s">
        <v>9</v>
      </c>
      <c r="J11" s="4">
        <v>-120000</v>
      </c>
      <c r="K11" s="4">
        <v>-120000</v>
      </c>
      <c r="L11" s="4">
        <v>-120000</v>
      </c>
      <c r="M11" s="4">
        <v>-120000</v>
      </c>
      <c r="N11" s="4">
        <v>-120000</v>
      </c>
      <c r="O11" s="4">
        <v>-120000</v>
      </c>
      <c r="P11" s="4">
        <v>-120000</v>
      </c>
      <c r="Q11" s="4">
        <v>-120000</v>
      </c>
      <c r="R11" s="4">
        <v>-120000</v>
      </c>
      <c r="S11" s="10">
        <v>-120000</v>
      </c>
      <c r="T11" s="70">
        <f t="shared" si="4"/>
        <v>-1200000</v>
      </c>
    </row>
    <row r="12" spans="1:20" x14ac:dyDescent="0.25">
      <c r="I12" s="9" t="s">
        <v>15</v>
      </c>
      <c r="J12" s="12">
        <v>-28800</v>
      </c>
      <c r="K12" s="12">
        <v>-28800</v>
      </c>
      <c r="L12" s="12">
        <v>-28800</v>
      </c>
      <c r="M12" s="12">
        <v>-28800</v>
      </c>
      <c r="N12" s="12">
        <v>-28800</v>
      </c>
      <c r="O12" s="12">
        <v>-28800</v>
      </c>
      <c r="P12" s="12">
        <v>-28800</v>
      </c>
      <c r="Q12" s="12">
        <v>-28800</v>
      </c>
      <c r="R12" s="12">
        <v>-28800</v>
      </c>
      <c r="S12" s="13">
        <v>-28800</v>
      </c>
      <c r="T12" s="71">
        <f t="shared" si="4"/>
        <v>-288000</v>
      </c>
    </row>
    <row r="13" spans="1:20" x14ac:dyDescent="0.25">
      <c r="A13" s="1"/>
      <c r="B13" s="1"/>
      <c r="C13" s="1"/>
      <c r="D13" s="1"/>
      <c r="E13" s="1"/>
      <c r="F13" s="1"/>
      <c r="G13" s="1"/>
      <c r="I13" s="9" t="s">
        <v>16</v>
      </c>
      <c r="J13" s="12">
        <v>-17500</v>
      </c>
      <c r="K13" s="12">
        <v>-17500</v>
      </c>
      <c r="L13" s="12">
        <v>-17500</v>
      </c>
      <c r="M13" s="12">
        <v>-17500</v>
      </c>
      <c r="N13" s="12">
        <v>-17500</v>
      </c>
      <c r="O13" s="12">
        <v>-17500</v>
      </c>
      <c r="P13" s="12">
        <v>-17500</v>
      </c>
      <c r="Q13" s="12">
        <v>-17500</v>
      </c>
      <c r="R13" s="12">
        <v>-17500</v>
      </c>
      <c r="S13" s="13">
        <v>-17500</v>
      </c>
      <c r="T13" s="71">
        <f t="shared" si="4"/>
        <v>-175000</v>
      </c>
    </row>
    <row r="14" spans="1:20" x14ac:dyDescent="0.25">
      <c r="A14" s="1"/>
      <c r="B14" s="1"/>
      <c r="C14" s="1"/>
      <c r="D14" s="1"/>
      <c r="E14" s="1"/>
      <c r="F14" s="1"/>
      <c r="G14" s="1"/>
      <c r="I14" s="9" t="s">
        <v>17</v>
      </c>
      <c r="J14" s="12">
        <v>-19200</v>
      </c>
      <c r="K14" s="12">
        <v>-19200</v>
      </c>
      <c r="L14" s="12">
        <v>-19200</v>
      </c>
      <c r="M14" s="12">
        <v>-19200</v>
      </c>
      <c r="N14" s="12">
        <v>-19200</v>
      </c>
      <c r="O14" s="12">
        <v>-19200</v>
      </c>
      <c r="P14" s="12">
        <v>-19200</v>
      </c>
      <c r="Q14" s="12">
        <v>-19200</v>
      </c>
      <c r="R14" s="12">
        <v>-19200</v>
      </c>
      <c r="S14" s="13">
        <v>-19200</v>
      </c>
      <c r="T14" s="71">
        <f t="shared" si="4"/>
        <v>-192000</v>
      </c>
    </row>
    <row r="15" spans="1:20" x14ac:dyDescent="0.25">
      <c r="A15" s="1"/>
      <c r="B15" s="1"/>
      <c r="C15" s="1"/>
      <c r="D15" s="1"/>
      <c r="E15" s="1"/>
      <c r="F15" s="1"/>
      <c r="G15" s="1"/>
      <c r="I15" s="7" t="s">
        <v>31</v>
      </c>
      <c r="J15" s="2">
        <f>J2+J7</f>
        <v>311493.89090540074</v>
      </c>
      <c r="K15" s="2">
        <f>K2+K7</f>
        <v>218192.05128205125</v>
      </c>
      <c r="L15" s="2">
        <f t="shared" ref="L15:M15" si="12">L2+L7</f>
        <v>218092.05128205125</v>
      </c>
      <c r="M15" s="2">
        <f t="shared" si="12"/>
        <v>217992.05128205125</v>
      </c>
      <c r="N15" s="2">
        <f t="shared" ref="N15:S15" si="13">N2+N7</f>
        <v>417295.51282051287</v>
      </c>
      <c r="O15" s="2">
        <f t="shared" si="13"/>
        <v>485730</v>
      </c>
      <c r="P15" s="2">
        <f t="shared" si="13"/>
        <v>484230</v>
      </c>
      <c r="Q15" s="2">
        <f t="shared" si="13"/>
        <v>485530</v>
      </c>
      <c r="R15" s="2">
        <f t="shared" si="13"/>
        <v>486030</v>
      </c>
      <c r="S15" s="8">
        <f t="shared" si="13"/>
        <v>492030</v>
      </c>
      <c r="T15" s="69">
        <f t="shared" si="4"/>
        <v>3816615.5575720672</v>
      </c>
    </row>
    <row r="16" spans="1:20" x14ac:dyDescent="0.25">
      <c r="A16" s="1"/>
      <c r="B16" s="1"/>
      <c r="C16" s="1"/>
      <c r="D16" s="1"/>
      <c r="E16" s="1"/>
      <c r="F16" s="1"/>
      <c r="G16" s="1"/>
      <c r="I16" s="7" t="s">
        <v>10</v>
      </c>
      <c r="J16" s="2">
        <f t="shared" ref="J16:S16" si="14">SUM(J17:J25)</f>
        <v>-279938</v>
      </c>
      <c r="K16" s="2">
        <f t="shared" si="14"/>
        <v>-215301</v>
      </c>
      <c r="L16" s="2">
        <f t="shared" si="14"/>
        <v>-215301</v>
      </c>
      <c r="M16" s="2">
        <f t="shared" si="14"/>
        <v>-215301</v>
      </c>
      <c r="N16" s="2">
        <f t="shared" si="14"/>
        <v>-402301</v>
      </c>
      <c r="O16" s="2">
        <f t="shared" si="14"/>
        <v>-315301</v>
      </c>
      <c r="P16" s="2">
        <f t="shared" si="14"/>
        <v>-336801</v>
      </c>
      <c r="Q16" s="2">
        <f t="shared" si="14"/>
        <v>-361801</v>
      </c>
      <c r="R16" s="2">
        <f t="shared" si="14"/>
        <v>-361801</v>
      </c>
      <c r="S16" s="8">
        <f t="shared" si="14"/>
        <v>-361801</v>
      </c>
      <c r="T16" s="69">
        <f t="shared" si="4"/>
        <v>-3065647</v>
      </c>
    </row>
    <row r="17" spans="1:20" x14ac:dyDescent="0.25">
      <c r="A17" s="1"/>
      <c r="B17" s="1"/>
      <c r="C17" s="1"/>
      <c r="D17" s="1"/>
      <c r="E17" s="1"/>
      <c r="F17" s="1"/>
      <c r="G17" s="1"/>
      <c r="I17" s="9" t="s">
        <v>11</v>
      </c>
      <c r="J17" s="12">
        <v>-21009</v>
      </c>
      <c r="K17" s="12">
        <v>-18360</v>
      </c>
      <c r="L17" s="12">
        <v>-18360</v>
      </c>
      <c r="M17" s="12">
        <v>-18360</v>
      </c>
      <c r="N17" s="12">
        <v>-18360</v>
      </c>
      <c r="O17" s="12">
        <v>-18360</v>
      </c>
      <c r="P17" s="12">
        <v>-18360</v>
      </c>
      <c r="Q17" s="12">
        <v>-18360</v>
      </c>
      <c r="R17" s="12">
        <v>-18360</v>
      </c>
      <c r="S17" s="13">
        <v>-18360</v>
      </c>
      <c r="T17" s="71">
        <f t="shared" si="4"/>
        <v>-186249</v>
      </c>
    </row>
    <row r="18" spans="1:20" x14ac:dyDescent="0.25">
      <c r="A18" s="1"/>
      <c r="B18" s="1"/>
      <c r="C18" s="1"/>
      <c r="D18" s="1"/>
      <c r="E18" s="1"/>
      <c r="F18" s="1"/>
      <c r="G18" s="1"/>
      <c r="I18" s="9" t="s">
        <v>12</v>
      </c>
      <c r="J18" s="12">
        <v>-8922</v>
      </c>
      <c r="K18" s="12">
        <v>-6000</v>
      </c>
      <c r="L18" s="12">
        <v>-6000</v>
      </c>
      <c r="M18" s="12">
        <v>-6000</v>
      </c>
      <c r="N18" s="12">
        <v>-6000</v>
      </c>
      <c r="O18" s="12">
        <v>-6000</v>
      </c>
      <c r="P18" s="12">
        <v>-6000</v>
      </c>
      <c r="Q18" s="12">
        <v>-6000</v>
      </c>
      <c r="R18" s="12">
        <v>-6000</v>
      </c>
      <c r="S18" s="13">
        <v>-6000</v>
      </c>
      <c r="T18" s="71">
        <f t="shared" si="4"/>
        <v>-62922</v>
      </c>
    </row>
    <row r="19" spans="1:20" x14ac:dyDescent="0.25">
      <c r="A19" s="1"/>
      <c r="B19" s="1"/>
      <c r="C19" s="1"/>
      <c r="D19" s="1"/>
      <c r="E19" s="1"/>
      <c r="F19" s="1"/>
      <c r="G19" s="1"/>
      <c r="I19" s="9" t="s">
        <v>13</v>
      </c>
      <c r="J19" s="12">
        <v>-25341</v>
      </c>
      <c r="K19" s="12">
        <v>-25341</v>
      </c>
      <c r="L19" s="12">
        <v>-25341</v>
      </c>
      <c r="M19" s="12">
        <v>-25341</v>
      </c>
      <c r="N19" s="12">
        <v>-25341</v>
      </c>
      <c r="O19" s="12">
        <v>-25341</v>
      </c>
      <c r="P19" s="12">
        <v>-25341</v>
      </c>
      <c r="Q19" s="12">
        <v>-25341</v>
      </c>
      <c r="R19" s="12">
        <v>-25341</v>
      </c>
      <c r="S19" s="13">
        <v>-25341</v>
      </c>
      <c r="T19" s="71">
        <f t="shared" si="4"/>
        <v>-253410</v>
      </c>
    </row>
    <row r="20" spans="1:20" x14ac:dyDescent="0.25">
      <c r="A20" s="1"/>
      <c r="B20" s="1"/>
      <c r="C20" s="1"/>
      <c r="D20" s="1"/>
      <c r="E20" s="1"/>
      <c r="F20" s="1"/>
      <c r="G20" s="1"/>
      <c r="I20" s="9" t="s">
        <v>14</v>
      </c>
      <c r="J20" s="12">
        <v>-25563</v>
      </c>
      <c r="K20" s="12">
        <f>-1500*12</f>
        <v>-18000</v>
      </c>
      <c r="L20" s="12">
        <f t="shared" ref="L20:M20" si="15">-1500*12</f>
        <v>-18000</v>
      </c>
      <c r="M20" s="12">
        <f t="shared" si="15"/>
        <v>-18000</v>
      </c>
      <c r="N20" s="12">
        <f>-1500*12</f>
        <v>-18000</v>
      </c>
      <c r="O20" s="12">
        <v>-18000</v>
      </c>
      <c r="P20" s="12">
        <v>-18000</v>
      </c>
      <c r="Q20" s="12">
        <v>-18000</v>
      </c>
      <c r="R20" s="12">
        <v>-18000</v>
      </c>
      <c r="S20" s="13">
        <v>-18000</v>
      </c>
      <c r="T20" s="71">
        <f t="shared" si="4"/>
        <v>-187563</v>
      </c>
    </row>
    <row r="21" spans="1:20" x14ac:dyDescent="0.25">
      <c r="A21" s="1"/>
      <c r="B21" s="1"/>
      <c r="C21" s="1"/>
      <c r="D21" s="1"/>
      <c r="E21" s="1"/>
      <c r="F21" s="1"/>
      <c r="G21" s="1"/>
      <c r="I21" s="9" t="s">
        <v>18</v>
      </c>
      <c r="J21" s="12">
        <v>-16139</v>
      </c>
      <c r="K21" s="12">
        <f>-12000</f>
        <v>-12000</v>
      </c>
      <c r="L21" s="12">
        <f t="shared" ref="L21:M21" si="16">-12000</f>
        <v>-12000</v>
      </c>
      <c r="M21" s="12">
        <f t="shared" si="16"/>
        <v>-12000</v>
      </c>
      <c r="N21" s="12">
        <f>-12000</f>
        <v>-12000</v>
      </c>
      <c r="O21" s="12">
        <v>-12000</v>
      </c>
      <c r="P21" s="12">
        <v>-12000</v>
      </c>
      <c r="Q21" s="12">
        <v>-12000</v>
      </c>
      <c r="R21" s="12">
        <v>-12000</v>
      </c>
      <c r="S21" s="13">
        <v>-12000</v>
      </c>
      <c r="T21" s="71">
        <f t="shared" si="4"/>
        <v>-124139</v>
      </c>
    </row>
    <row r="22" spans="1:20" x14ac:dyDescent="0.25">
      <c r="A22" s="1"/>
      <c r="B22" s="1"/>
      <c r="C22" s="1"/>
      <c r="D22" s="1"/>
      <c r="E22" s="1"/>
      <c r="F22" s="1"/>
      <c r="G22" s="1"/>
      <c r="I22" s="9" t="s">
        <v>19</v>
      </c>
      <c r="J22" s="12">
        <v>-52000</v>
      </c>
      <c r="K22" s="12">
        <v>-30000</v>
      </c>
      <c r="L22" s="12">
        <v>-30000</v>
      </c>
      <c r="M22" s="12">
        <v>-30000</v>
      </c>
      <c r="N22" s="12">
        <v>-30000</v>
      </c>
      <c r="O22" s="12">
        <v>-30000</v>
      </c>
      <c r="P22" s="12">
        <v>-30000</v>
      </c>
      <c r="Q22" s="12">
        <v>-30000</v>
      </c>
      <c r="R22" s="12">
        <v>-30000</v>
      </c>
      <c r="S22" s="13">
        <v>-30000</v>
      </c>
      <c r="T22" s="71">
        <f t="shared" si="4"/>
        <v>-322000</v>
      </c>
    </row>
    <row r="23" spans="1:20" x14ac:dyDescent="0.25">
      <c r="I23" s="9" t="s">
        <v>20</v>
      </c>
      <c r="J23" s="12">
        <v>-34392</v>
      </c>
      <c r="K23" s="12">
        <v>-33600</v>
      </c>
      <c r="L23" s="12">
        <v>-33600</v>
      </c>
      <c r="M23" s="12">
        <v>-33600</v>
      </c>
      <c r="N23" s="12">
        <v>-33600</v>
      </c>
      <c r="O23" s="12">
        <v>-33600</v>
      </c>
      <c r="P23" s="12">
        <v>-33600</v>
      </c>
      <c r="Q23" s="12">
        <v>-33600</v>
      </c>
      <c r="R23" s="12">
        <v>-33600</v>
      </c>
      <c r="S23" s="13">
        <v>-33600</v>
      </c>
      <c r="T23" s="71">
        <f t="shared" si="4"/>
        <v>-336792</v>
      </c>
    </row>
    <row r="24" spans="1:20" x14ac:dyDescent="0.25">
      <c r="I24" s="9" t="s">
        <v>29</v>
      </c>
      <c r="J24" s="12">
        <v>-32965</v>
      </c>
      <c r="K24" s="12">
        <v>-24000</v>
      </c>
      <c r="L24" s="12">
        <v>-24000</v>
      </c>
      <c r="M24" s="12">
        <v>-24000</v>
      </c>
      <c r="N24" s="12">
        <v>-24000</v>
      </c>
      <c r="O24" s="12">
        <v>-24000</v>
      </c>
      <c r="P24" s="12">
        <v>-24000</v>
      </c>
      <c r="Q24" s="12">
        <v>-24000</v>
      </c>
      <c r="R24" s="12">
        <v>-24000</v>
      </c>
      <c r="S24" s="13">
        <v>-24000</v>
      </c>
      <c r="T24" s="71">
        <f t="shared" si="4"/>
        <v>-248965</v>
      </c>
    </row>
    <row r="25" spans="1:20" x14ac:dyDescent="0.25">
      <c r="I25" s="9" t="s">
        <v>21</v>
      </c>
      <c r="J25" s="12">
        <v>-63607</v>
      </c>
      <c r="K25" s="12">
        <v>-48000</v>
      </c>
      <c r="L25" s="12">
        <v>-48000</v>
      </c>
      <c r="M25" s="12">
        <v>-48000</v>
      </c>
      <c r="N25" s="12">
        <f>-48000-187000</f>
        <v>-235000</v>
      </c>
      <c r="O25" s="12">
        <f>-148000</f>
        <v>-148000</v>
      </c>
      <c r="P25" s="12">
        <v>-169500</v>
      </c>
      <c r="Q25" s="12">
        <f>-48000-146500</f>
        <v>-194500</v>
      </c>
      <c r="R25" s="12">
        <f>-48000-146500</f>
        <v>-194500</v>
      </c>
      <c r="S25" s="13">
        <f>-48000-146500</f>
        <v>-194500</v>
      </c>
      <c r="T25" s="71">
        <f t="shared" si="4"/>
        <v>-1343607</v>
      </c>
    </row>
    <row r="26" spans="1:20" x14ac:dyDescent="0.25">
      <c r="I26" s="7" t="s">
        <v>22</v>
      </c>
      <c r="J26" s="14">
        <f>J15+J16</f>
        <v>31555.890905400738</v>
      </c>
      <c r="K26" s="14">
        <f>K15+K16</f>
        <v>2891.0512820512522</v>
      </c>
      <c r="L26" s="14">
        <f t="shared" ref="L26:M26" si="17">L15+L16</f>
        <v>2791.0512820512522</v>
      </c>
      <c r="M26" s="14">
        <f t="shared" si="17"/>
        <v>2691.0512820512522</v>
      </c>
      <c r="N26" s="14">
        <f t="shared" ref="N26:S26" si="18">N15+N16</f>
        <v>14994.512820512871</v>
      </c>
      <c r="O26" s="14">
        <f t="shared" si="18"/>
        <v>170429</v>
      </c>
      <c r="P26" s="14">
        <f t="shared" si="18"/>
        <v>147429</v>
      </c>
      <c r="Q26" s="14">
        <f t="shared" si="18"/>
        <v>123729</v>
      </c>
      <c r="R26" s="14">
        <f t="shared" si="18"/>
        <v>124229</v>
      </c>
      <c r="S26" s="17">
        <f t="shared" si="18"/>
        <v>130229</v>
      </c>
      <c r="T26" s="72">
        <f t="shared" si="4"/>
        <v>750968.55757206737</v>
      </c>
    </row>
    <row r="27" spans="1:20" x14ac:dyDescent="0.25">
      <c r="I27" s="25" t="s">
        <v>25</v>
      </c>
      <c r="J27" s="26">
        <v>-21576</v>
      </c>
      <c r="K27" s="26">
        <f>-21577</f>
        <v>-21577</v>
      </c>
      <c r="L27" s="26">
        <v>-21577</v>
      </c>
      <c r="M27" s="26">
        <v>-21577</v>
      </c>
      <c r="N27" s="12">
        <v>-21577</v>
      </c>
      <c r="O27" s="26">
        <f>-21577+55743</f>
        <v>34166</v>
      </c>
      <c r="P27" s="26">
        <f>-21577-250000-20000</f>
        <v>-291577</v>
      </c>
      <c r="Q27" s="26">
        <f>-21577</f>
        <v>-21577</v>
      </c>
      <c r="R27" s="12">
        <f>-21577</f>
        <v>-21577</v>
      </c>
      <c r="S27" s="13">
        <f>250096+265214+20606</f>
        <v>535916</v>
      </c>
      <c r="T27" s="71">
        <f t="shared" si="4"/>
        <v>127467</v>
      </c>
    </row>
    <row r="28" spans="1:20" x14ac:dyDescent="0.25">
      <c r="I28" s="45" t="s">
        <v>95</v>
      </c>
      <c r="J28" s="12">
        <v>-3000</v>
      </c>
      <c r="K28" s="12">
        <v>-4200</v>
      </c>
      <c r="L28" s="12">
        <v>-3700</v>
      </c>
      <c r="M28" s="12">
        <v>-3700</v>
      </c>
      <c r="N28" s="12">
        <v>-3000</v>
      </c>
      <c r="O28" s="12">
        <v>-3000</v>
      </c>
      <c r="P28" s="12">
        <v>-3700</v>
      </c>
      <c r="Q28" s="12">
        <v>-3700</v>
      </c>
      <c r="R28" s="12">
        <v>-3700</v>
      </c>
      <c r="S28" s="13">
        <v>-3700</v>
      </c>
      <c r="T28" s="71">
        <f t="shared" si="4"/>
        <v>-35400</v>
      </c>
    </row>
    <row r="29" spans="1:20" ht="15.75" thickBot="1" x14ac:dyDescent="0.3">
      <c r="I29" s="11" t="s">
        <v>23</v>
      </c>
      <c r="J29" s="76">
        <f>J26+J27+J28</f>
        <v>6979.8909054007381</v>
      </c>
      <c r="K29" s="16">
        <f>K26+K27+K28</f>
        <v>-22885.948717948748</v>
      </c>
      <c r="L29" s="16">
        <f t="shared" ref="L29:N29" si="19">L26+L27+L28</f>
        <v>-22485.948717948748</v>
      </c>
      <c r="M29" s="16">
        <f t="shared" si="19"/>
        <v>-22585.948717948748</v>
      </c>
      <c r="N29" s="16">
        <f t="shared" si="19"/>
        <v>-9582.4871794871287</v>
      </c>
      <c r="O29" s="16">
        <f>O26+O27</f>
        <v>204595</v>
      </c>
      <c r="P29" s="16">
        <f>P26+P27+P28</f>
        <v>-147848</v>
      </c>
      <c r="Q29" s="16">
        <f t="shared" ref="Q29:S29" si="20">Q26+Q27+Q28</f>
        <v>98452</v>
      </c>
      <c r="R29" s="16">
        <f t="shared" si="20"/>
        <v>98952</v>
      </c>
      <c r="S29" s="18">
        <f t="shared" si="20"/>
        <v>662445</v>
      </c>
      <c r="T29" s="73">
        <f t="shared" si="4"/>
        <v>846035.55757206737</v>
      </c>
    </row>
    <row r="30" spans="1:20" ht="15.75" thickBot="1" x14ac:dyDescent="0.3"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I31" s="21" t="s">
        <v>143</v>
      </c>
      <c r="J31" s="75">
        <v>2019</v>
      </c>
      <c r="K31" s="5">
        <v>2020</v>
      </c>
      <c r="L31" s="5">
        <v>2021</v>
      </c>
      <c r="M31" s="5">
        <v>2022</v>
      </c>
      <c r="N31" s="5">
        <v>2023</v>
      </c>
      <c r="O31" s="5">
        <v>2024</v>
      </c>
      <c r="P31" s="5">
        <v>2025</v>
      </c>
      <c r="Q31" s="5">
        <v>2026</v>
      </c>
      <c r="R31" s="5">
        <v>2027</v>
      </c>
      <c r="S31" s="6">
        <v>2028</v>
      </c>
      <c r="T31" s="68" t="s">
        <v>30</v>
      </c>
    </row>
    <row r="32" spans="1:20" x14ac:dyDescent="0.25">
      <c r="I32" s="7" t="s">
        <v>0</v>
      </c>
      <c r="J32" s="2">
        <f>SUM(J33:J36)</f>
        <v>589627.22423873423</v>
      </c>
      <c r="K32" s="2">
        <f>SUM(K33:K36)</f>
        <v>511043.33333333331</v>
      </c>
      <c r="L32" s="2">
        <f t="shared" ref="L32" si="21">SUM(L33:L36)</f>
        <v>510943.33333333331</v>
      </c>
      <c r="M32" s="2">
        <f>SUM(M33:M36)</f>
        <v>548176.66666666663</v>
      </c>
      <c r="N32" s="2">
        <f t="shared" ref="N32" si="22">SUM(N33:N36)</f>
        <v>712275</v>
      </c>
      <c r="O32" s="2">
        <f>SUM(O33:O35)</f>
        <v>756530</v>
      </c>
      <c r="P32" s="2">
        <f t="shared" ref="P32:S32" si="23">SUM(P33:P35)</f>
        <v>755030</v>
      </c>
      <c r="Q32" s="2">
        <f t="shared" si="23"/>
        <v>756330</v>
      </c>
      <c r="R32" s="2">
        <f t="shared" si="23"/>
        <v>756830</v>
      </c>
      <c r="S32" s="8">
        <f t="shared" si="23"/>
        <v>762830</v>
      </c>
      <c r="T32" s="69">
        <f>SUM(J32:S32)</f>
        <v>6659615.5575720668</v>
      </c>
    </row>
    <row r="33" spans="9:20" x14ac:dyDescent="0.25">
      <c r="I33" s="9" t="s">
        <v>1</v>
      </c>
      <c r="J33" s="4">
        <v>396000</v>
      </c>
      <c r="K33" s="4">
        <v>396000</v>
      </c>
      <c r="L33" s="4">
        <v>396000</v>
      </c>
      <c r="M33" s="4">
        <f>396000+6*15000</f>
        <v>486000</v>
      </c>
      <c r="N33" s="4">
        <f>33000*12+9*29085+3*15000</f>
        <v>702765</v>
      </c>
      <c r="O33" s="4">
        <f>33000*12+29085*12</f>
        <v>745020</v>
      </c>
      <c r="P33" s="4">
        <f t="shared" ref="P33:S33" si="24">33000*12+29085*12</f>
        <v>745020</v>
      </c>
      <c r="Q33" s="4">
        <f t="shared" si="24"/>
        <v>745020</v>
      </c>
      <c r="R33" s="4">
        <f t="shared" si="24"/>
        <v>745020</v>
      </c>
      <c r="S33" s="10">
        <f t="shared" si="24"/>
        <v>745020</v>
      </c>
      <c r="T33" s="70">
        <f t="shared" ref="T33:T59" si="25">SUM(J33:S33)</f>
        <v>6101865</v>
      </c>
    </row>
    <row r="34" spans="9:20" x14ac:dyDescent="0.25">
      <c r="I34" s="9" t="s">
        <v>2</v>
      </c>
      <c r="J34" s="4">
        <v>1620</v>
      </c>
      <c r="K34" s="4">
        <f>(14000+1620)/2</f>
        <v>7810</v>
      </c>
      <c r="L34" s="4">
        <f t="shared" ref="L34:M34" si="26">(14000+1620)/2</f>
        <v>7810</v>
      </c>
      <c r="M34" s="4">
        <f t="shared" si="26"/>
        <v>7810</v>
      </c>
      <c r="N34" s="4">
        <v>7810</v>
      </c>
      <c r="O34" s="4">
        <v>7810</v>
      </c>
      <c r="P34" s="4">
        <v>7810</v>
      </c>
      <c r="Q34" s="4">
        <v>7810</v>
      </c>
      <c r="R34" s="4">
        <v>7810</v>
      </c>
      <c r="S34" s="10">
        <v>7810</v>
      </c>
      <c r="T34" s="70">
        <f t="shared" si="25"/>
        <v>71910</v>
      </c>
    </row>
    <row r="35" spans="9:20" x14ac:dyDescent="0.25">
      <c r="I35" s="9" t="s">
        <v>3</v>
      </c>
      <c r="J35" s="4">
        <f>SUM(Příspěvky!B7:G7)+6*Příspěvky!C10</f>
        <v>189973.66666666669</v>
      </c>
      <c r="K35" s="4">
        <f>12*Příspěvky!C13</f>
        <v>105333.33333333333</v>
      </c>
      <c r="L35" s="4">
        <f>12*Příspěvky!C13</f>
        <v>105333.33333333333</v>
      </c>
      <c r="M35" s="4">
        <f>6*Příspěvky!C13</f>
        <v>52666.666666666664</v>
      </c>
      <c r="N35" s="4">
        <v>0</v>
      </c>
      <c r="O35" s="44">
        <v>3700</v>
      </c>
      <c r="P35" s="44">
        <v>2200</v>
      </c>
      <c r="Q35" s="44">
        <v>3500</v>
      </c>
      <c r="R35" s="44">
        <v>4000</v>
      </c>
      <c r="S35" s="74">
        <v>10000</v>
      </c>
      <c r="T35" s="67">
        <f t="shared" si="25"/>
        <v>476707</v>
      </c>
    </row>
    <row r="36" spans="9:20" x14ac:dyDescent="0.25">
      <c r="I36" s="9" t="s">
        <v>4</v>
      </c>
      <c r="J36" s="44">
        <v>2033.5575720674997</v>
      </c>
      <c r="K36" s="44">
        <v>1900</v>
      </c>
      <c r="L36" s="44">
        <v>1800</v>
      </c>
      <c r="M36" s="44">
        <v>1700</v>
      </c>
      <c r="N36" s="44">
        <v>1700</v>
      </c>
      <c r="O36" s="44">
        <v>0</v>
      </c>
      <c r="P36" s="44">
        <v>0</v>
      </c>
      <c r="Q36" s="44">
        <v>0</v>
      </c>
      <c r="R36" s="44">
        <v>0</v>
      </c>
      <c r="S36" s="74">
        <v>0</v>
      </c>
      <c r="T36" s="67">
        <f t="shared" si="25"/>
        <v>9133.5575720675006</v>
      </c>
    </row>
    <row r="37" spans="9:20" x14ac:dyDescent="0.25">
      <c r="I37" s="7" t="s">
        <v>5</v>
      </c>
      <c r="J37" s="2">
        <v>-270800</v>
      </c>
      <c r="K37" s="2">
        <f>SUM(K38:K44)</f>
        <v>-270800</v>
      </c>
      <c r="L37" s="2">
        <f t="shared" ref="L37:M37" si="27">SUM(L38:L44)</f>
        <v>-270800</v>
      </c>
      <c r="M37" s="2">
        <f t="shared" si="27"/>
        <v>-270800</v>
      </c>
      <c r="N37" s="2">
        <f>SUM(N38:N44)</f>
        <v>-270800</v>
      </c>
      <c r="O37" s="2">
        <f>SUM(O38:O44)</f>
        <v>-270800</v>
      </c>
      <c r="P37" s="2">
        <f t="shared" ref="P37:S37" si="28">SUM(P38:P44)</f>
        <v>-270800</v>
      </c>
      <c r="Q37" s="2">
        <f t="shared" si="28"/>
        <v>-270800</v>
      </c>
      <c r="R37" s="2">
        <f t="shared" si="28"/>
        <v>-270800</v>
      </c>
      <c r="S37" s="8">
        <f t="shared" si="28"/>
        <v>-270800</v>
      </c>
      <c r="T37" s="69">
        <f t="shared" si="25"/>
        <v>-2708000</v>
      </c>
    </row>
    <row r="38" spans="9:20" x14ac:dyDescent="0.25">
      <c r="I38" s="9" t="s">
        <v>6</v>
      </c>
      <c r="J38" s="4">
        <v>-72000</v>
      </c>
      <c r="K38" s="4">
        <v>-72000</v>
      </c>
      <c r="L38" s="4">
        <v>-72000</v>
      </c>
      <c r="M38" s="4">
        <v>-72000</v>
      </c>
      <c r="N38" s="4">
        <v>-72000</v>
      </c>
      <c r="O38" s="4">
        <v>-72000</v>
      </c>
      <c r="P38" s="4">
        <v>-72000</v>
      </c>
      <c r="Q38" s="4">
        <v>-72000</v>
      </c>
      <c r="R38" s="4">
        <v>-72000</v>
      </c>
      <c r="S38" s="10">
        <v>-72000</v>
      </c>
      <c r="T38" s="70">
        <f t="shared" si="25"/>
        <v>-720000</v>
      </c>
    </row>
    <row r="39" spans="9:20" x14ac:dyDescent="0.25">
      <c r="I39" s="9" t="s">
        <v>7</v>
      </c>
      <c r="J39" s="4">
        <v>-7300</v>
      </c>
      <c r="K39" s="4">
        <v>-7300</v>
      </c>
      <c r="L39" s="4">
        <v>-7300</v>
      </c>
      <c r="M39" s="4">
        <v>-7300</v>
      </c>
      <c r="N39" s="4">
        <v>-7300</v>
      </c>
      <c r="O39" s="4">
        <v>-7300</v>
      </c>
      <c r="P39" s="4">
        <v>-7300</v>
      </c>
      <c r="Q39" s="4">
        <v>-7300</v>
      </c>
      <c r="R39" s="4">
        <v>-7300</v>
      </c>
      <c r="S39" s="10">
        <v>-7300</v>
      </c>
      <c r="T39" s="70">
        <f t="shared" si="25"/>
        <v>-73000</v>
      </c>
    </row>
    <row r="40" spans="9:20" x14ac:dyDescent="0.25">
      <c r="I40" s="9" t="s">
        <v>8</v>
      </c>
      <c r="J40" s="4">
        <v>-6000</v>
      </c>
      <c r="K40" s="4">
        <v>-6000</v>
      </c>
      <c r="L40" s="4">
        <v>-6000</v>
      </c>
      <c r="M40" s="4">
        <v>-6000</v>
      </c>
      <c r="N40" s="4">
        <v>-6000</v>
      </c>
      <c r="O40" s="4">
        <v>-6000</v>
      </c>
      <c r="P40" s="4">
        <v>-6000</v>
      </c>
      <c r="Q40" s="4">
        <v>-6000</v>
      </c>
      <c r="R40" s="4">
        <v>-6000</v>
      </c>
      <c r="S40" s="10">
        <v>-6000</v>
      </c>
      <c r="T40" s="70">
        <f t="shared" si="25"/>
        <v>-60000</v>
      </c>
    </row>
    <row r="41" spans="9:20" x14ac:dyDescent="0.25">
      <c r="I41" s="9" t="s">
        <v>9</v>
      </c>
      <c r="J41" s="4">
        <v>-120000</v>
      </c>
      <c r="K41" s="4">
        <v>-120000</v>
      </c>
      <c r="L41" s="4">
        <v>-120000</v>
      </c>
      <c r="M41" s="4">
        <v>-120000</v>
      </c>
      <c r="N41" s="4">
        <v>-120000</v>
      </c>
      <c r="O41" s="4">
        <v>-120000</v>
      </c>
      <c r="P41" s="4">
        <v>-120000</v>
      </c>
      <c r="Q41" s="4">
        <v>-120000</v>
      </c>
      <c r="R41" s="4">
        <v>-120000</v>
      </c>
      <c r="S41" s="10">
        <v>-120000</v>
      </c>
      <c r="T41" s="70">
        <f t="shared" si="25"/>
        <v>-1200000</v>
      </c>
    </row>
    <row r="42" spans="9:20" x14ac:dyDescent="0.25">
      <c r="I42" s="9" t="s">
        <v>15</v>
      </c>
      <c r="J42" s="12">
        <v>-28800</v>
      </c>
      <c r="K42" s="12">
        <v>-28800</v>
      </c>
      <c r="L42" s="12">
        <v>-28800</v>
      </c>
      <c r="M42" s="12">
        <v>-28800</v>
      </c>
      <c r="N42" s="12">
        <v>-28800</v>
      </c>
      <c r="O42" s="12">
        <v>-28800</v>
      </c>
      <c r="P42" s="12">
        <v>-28800</v>
      </c>
      <c r="Q42" s="12">
        <v>-28800</v>
      </c>
      <c r="R42" s="12">
        <v>-28800</v>
      </c>
      <c r="S42" s="13">
        <v>-28800</v>
      </c>
      <c r="T42" s="71">
        <f t="shared" si="25"/>
        <v>-288000</v>
      </c>
    </row>
    <row r="43" spans="9:20" x14ac:dyDescent="0.25">
      <c r="I43" s="9" t="s">
        <v>16</v>
      </c>
      <c r="J43" s="12">
        <v>-17500</v>
      </c>
      <c r="K43" s="12">
        <v>-17500</v>
      </c>
      <c r="L43" s="12">
        <v>-17500</v>
      </c>
      <c r="M43" s="12">
        <v>-17500</v>
      </c>
      <c r="N43" s="12">
        <v>-17500</v>
      </c>
      <c r="O43" s="12">
        <v>-17500</v>
      </c>
      <c r="P43" s="12">
        <v>-17500</v>
      </c>
      <c r="Q43" s="12">
        <v>-17500</v>
      </c>
      <c r="R43" s="12">
        <v>-17500</v>
      </c>
      <c r="S43" s="13">
        <v>-17500</v>
      </c>
      <c r="T43" s="71">
        <f t="shared" si="25"/>
        <v>-175000</v>
      </c>
    </row>
    <row r="44" spans="9:20" x14ac:dyDescent="0.25">
      <c r="I44" s="9" t="s">
        <v>17</v>
      </c>
      <c r="J44" s="12">
        <v>-19200</v>
      </c>
      <c r="K44" s="12">
        <v>-19200</v>
      </c>
      <c r="L44" s="12">
        <v>-19200</v>
      </c>
      <c r="M44" s="12">
        <v>-19200</v>
      </c>
      <c r="N44" s="12">
        <v>-19200</v>
      </c>
      <c r="O44" s="12">
        <v>-19200</v>
      </c>
      <c r="P44" s="12">
        <v>-19200</v>
      </c>
      <c r="Q44" s="12">
        <v>-19200</v>
      </c>
      <c r="R44" s="12">
        <v>-19200</v>
      </c>
      <c r="S44" s="13">
        <v>-19200</v>
      </c>
      <c r="T44" s="71">
        <f t="shared" si="25"/>
        <v>-192000</v>
      </c>
    </row>
    <row r="45" spans="9:20" x14ac:dyDescent="0.25">
      <c r="I45" s="7" t="s">
        <v>31</v>
      </c>
      <c r="J45" s="2">
        <f>J32+J37</f>
        <v>318827.22423873423</v>
      </c>
      <c r="K45" s="2">
        <f>K32+K37</f>
        <v>240243.33333333331</v>
      </c>
      <c r="L45" s="2">
        <f t="shared" ref="L45:M45" si="29">L32+L37</f>
        <v>240143.33333333331</v>
      </c>
      <c r="M45" s="2">
        <f t="shared" si="29"/>
        <v>277376.66666666663</v>
      </c>
      <c r="N45" s="2">
        <f t="shared" ref="N45:S45" si="30">N32+N37</f>
        <v>441475</v>
      </c>
      <c r="O45" s="2">
        <f t="shared" si="30"/>
        <v>485730</v>
      </c>
      <c r="P45" s="2">
        <f t="shared" si="30"/>
        <v>484230</v>
      </c>
      <c r="Q45" s="2">
        <f t="shared" si="30"/>
        <v>485530</v>
      </c>
      <c r="R45" s="2">
        <f t="shared" si="30"/>
        <v>486030</v>
      </c>
      <c r="S45" s="8">
        <f t="shared" si="30"/>
        <v>492030</v>
      </c>
      <c r="T45" s="69">
        <f t="shared" si="25"/>
        <v>3951615.5575720672</v>
      </c>
    </row>
    <row r="46" spans="9:20" x14ac:dyDescent="0.25">
      <c r="I46" s="7" t="s">
        <v>10</v>
      </c>
      <c r="J46" s="2">
        <f t="shared" ref="J46:S46" si="31">SUM(J47:J55)</f>
        <v>-279938</v>
      </c>
      <c r="K46" s="2">
        <f t="shared" si="31"/>
        <v>-215301</v>
      </c>
      <c r="L46" s="2">
        <f t="shared" si="31"/>
        <v>-215301</v>
      </c>
      <c r="M46" s="2">
        <f t="shared" si="31"/>
        <v>-290301</v>
      </c>
      <c r="N46" s="2">
        <f t="shared" si="31"/>
        <v>-440301</v>
      </c>
      <c r="O46" s="2">
        <f t="shared" si="31"/>
        <v>-315301</v>
      </c>
      <c r="P46" s="2">
        <f t="shared" si="31"/>
        <v>-336801</v>
      </c>
      <c r="Q46" s="2">
        <f t="shared" si="31"/>
        <v>-361801</v>
      </c>
      <c r="R46" s="2">
        <f t="shared" si="31"/>
        <v>-361801</v>
      </c>
      <c r="S46" s="8">
        <f t="shared" si="31"/>
        <v>-361801</v>
      </c>
      <c r="T46" s="69">
        <f t="shared" si="25"/>
        <v>-3178647</v>
      </c>
    </row>
    <row r="47" spans="9:20" x14ac:dyDescent="0.25">
      <c r="I47" s="9" t="s">
        <v>11</v>
      </c>
      <c r="J47" s="12">
        <v>-21009</v>
      </c>
      <c r="K47" s="12">
        <v>-18360</v>
      </c>
      <c r="L47" s="12">
        <v>-18360</v>
      </c>
      <c r="M47" s="12">
        <v>-18360</v>
      </c>
      <c r="N47" s="12">
        <v>-18360</v>
      </c>
      <c r="O47" s="12">
        <v>-18360</v>
      </c>
      <c r="P47" s="12">
        <v>-18360</v>
      </c>
      <c r="Q47" s="12">
        <v>-18360</v>
      </c>
      <c r="R47" s="12">
        <v>-18360</v>
      </c>
      <c r="S47" s="13">
        <v>-18360</v>
      </c>
      <c r="T47" s="71">
        <f t="shared" si="25"/>
        <v>-186249</v>
      </c>
    </row>
    <row r="48" spans="9:20" x14ac:dyDescent="0.25">
      <c r="I48" s="9" t="s">
        <v>12</v>
      </c>
      <c r="J48" s="12">
        <v>-8922</v>
      </c>
      <c r="K48" s="12">
        <v>-6000</v>
      </c>
      <c r="L48" s="12">
        <v>-6000</v>
      </c>
      <c r="M48" s="12">
        <v>-6000</v>
      </c>
      <c r="N48" s="12">
        <v>-6000</v>
      </c>
      <c r="O48" s="12">
        <v>-6000</v>
      </c>
      <c r="P48" s="12">
        <v>-6000</v>
      </c>
      <c r="Q48" s="12">
        <v>-6000</v>
      </c>
      <c r="R48" s="12">
        <v>-6000</v>
      </c>
      <c r="S48" s="13">
        <v>-6000</v>
      </c>
      <c r="T48" s="71">
        <f t="shared" si="25"/>
        <v>-62922</v>
      </c>
    </row>
    <row r="49" spans="9:20" x14ac:dyDescent="0.25">
      <c r="I49" s="9" t="s">
        <v>13</v>
      </c>
      <c r="J49" s="12">
        <v>-25341</v>
      </c>
      <c r="K49" s="12">
        <v>-25341</v>
      </c>
      <c r="L49" s="12">
        <v>-25341</v>
      </c>
      <c r="M49" s="12">
        <v>-25341</v>
      </c>
      <c r="N49" s="12">
        <v>-25341</v>
      </c>
      <c r="O49" s="12">
        <v>-25341</v>
      </c>
      <c r="P49" s="12">
        <v>-25341</v>
      </c>
      <c r="Q49" s="12">
        <v>-25341</v>
      </c>
      <c r="R49" s="12">
        <v>-25341</v>
      </c>
      <c r="S49" s="13">
        <v>-25341</v>
      </c>
      <c r="T49" s="71">
        <f t="shared" si="25"/>
        <v>-253410</v>
      </c>
    </row>
    <row r="50" spans="9:20" x14ac:dyDescent="0.25">
      <c r="I50" s="9" t="s">
        <v>14</v>
      </c>
      <c r="J50" s="12">
        <v>-25563</v>
      </c>
      <c r="K50" s="12">
        <f>-1500*12</f>
        <v>-18000</v>
      </c>
      <c r="L50" s="12">
        <f t="shared" ref="L50:M50" si="32">-1500*12</f>
        <v>-18000</v>
      </c>
      <c r="M50" s="12">
        <f t="shared" si="32"/>
        <v>-18000</v>
      </c>
      <c r="N50" s="12">
        <f>-1500*12</f>
        <v>-18000</v>
      </c>
      <c r="O50" s="12">
        <v>-18000</v>
      </c>
      <c r="P50" s="12">
        <v>-18000</v>
      </c>
      <c r="Q50" s="12">
        <v>-18000</v>
      </c>
      <c r="R50" s="12">
        <v>-18000</v>
      </c>
      <c r="S50" s="13">
        <v>-18000</v>
      </c>
      <c r="T50" s="71">
        <f t="shared" si="25"/>
        <v>-187563</v>
      </c>
    </row>
    <row r="51" spans="9:20" x14ac:dyDescent="0.25">
      <c r="I51" s="9" t="s">
        <v>18</v>
      </c>
      <c r="J51" s="12">
        <v>-16139</v>
      </c>
      <c r="K51" s="12">
        <f>-12000</f>
        <v>-12000</v>
      </c>
      <c r="L51" s="12">
        <f t="shared" ref="L51:M51" si="33">-12000</f>
        <v>-12000</v>
      </c>
      <c r="M51" s="12">
        <f t="shared" si="33"/>
        <v>-12000</v>
      </c>
      <c r="N51" s="12">
        <f>-12000</f>
        <v>-12000</v>
      </c>
      <c r="O51" s="12">
        <v>-12000</v>
      </c>
      <c r="P51" s="12">
        <v>-12000</v>
      </c>
      <c r="Q51" s="12">
        <v>-12000</v>
      </c>
      <c r="R51" s="12">
        <v>-12000</v>
      </c>
      <c r="S51" s="13">
        <v>-12000</v>
      </c>
      <c r="T51" s="71">
        <f t="shared" si="25"/>
        <v>-124139</v>
      </c>
    </row>
    <row r="52" spans="9:20" x14ac:dyDescent="0.25">
      <c r="I52" s="9" t="s">
        <v>19</v>
      </c>
      <c r="J52" s="12">
        <v>-52000</v>
      </c>
      <c r="K52" s="12">
        <v>-30000</v>
      </c>
      <c r="L52" s="12">
        <v>-30000</v>
      </c>
      <c r="M52" s="12">
        <v>-30000</v>
      </c>
      <c r="N52" s="12">
        <v>-30000</v>
      </c>
      <c r="O52" s="12">
        <v>-30000</v>
      </c>
      <c r="P52" s="12">
        <v>-30000</v>
      </c>
      <c r="Q52" s="12">
        <v>-30000</v>
      </c>
      <c r="R52" s="12">
        <v>-30000</v>
      </c>
      <c r="S52" s="13">
        <v>-30000</v>
      </c>
      <c r="T52" s="71">
        <f t="shared" si="25"/>
        <v>-322000</v>
      </c>
    </row>
    <row r="53" spans="9:20" x14ac:dyDescent="0.25">
      <c r="I53" s="9" t="s">
        <v>20</v>
      </c>
      <c r="J53" s="12">
        <v>-34392</v>
      </c>
      <c r="K53" s="12">
        <v>-33600</v>
      </c>
      <c r="L53" s="12">
        <v>-33600</v>
      </c>
      <c r="M53" s="12">
        <v>-33600</v>
      </c>
      <c r="N53" s="12">
        <v>-33600</v>
      </c>
      <c r="O53" s="12">
        <v>-33600</v>
      </c>
      <c r="P53" s="12">
        <v>-33600</v>
      </c>
      <c r="Q53" s="12">
        <v>-33600</v>
      </c>
      <c r="R53" s="12">
        <v>-33600</v>
      </c>
      <c r="S53" s="13">
        <v>-33600</v>
      </c>
      <c r="T53" s="71">
        <f t="shared" si="25"/>
        <v>-336792</v>
      </c>
    </row>
    <row r="54" spans="9:20" x14ac:dyDescent="0.25">
      <c r="I54" s="9" t="s">
        <v>29</v>
      </c>
      <c r="J54" s="12">
        <v>-32965</v>
      </c>
      <c r="K54" s="12">
        <v>-24000</v>
      </c>
      <c r="L54" s="12">
        <v>-24000</v>
      </c>
      <c r="M54" s="12">
        <v>-24000</v>
      </c>
      <c r="N54" s="12">
        <v>-24000</v>
      </c>
      <c r="O54" s="12">
        <v>-24000</v>
      </c>
      <c r="P54" s="12">
        <v>-24000</v>
      </c>
      <c r="Q54" s="12">
        <v>-24000</v>
      </c>
      <c r="R54" s="12">
        <v>-24000</v>
      </c>
      <c r="S54" s="13">
        <v>-24000</v>
      </c>
      <c r="T54" s="71">
        <f t="shared" si="25"/>
        <v>-248965</v>
      </c>
    </row>
    <row r="55" spans="9:20" x14ac:dyDescent="0.25">
      <c r="I55" s="9" t="s">
        <v>21</v>
      </c>
      <c r="J55" s="12">
        <v>-63607</v>
      </c>
      <c r="K55" s="12">
        <v>-48000</v>
      </c>
      <c r="L55" s="12">
        <v>-48000</v>
      </c>
      <c r="M55" s="12">
        <f>-48000-75000</f>
        <v>-123000</v>
      </c>
      <c r="N55" s="12">
        <f>-48000-187000-38000</f>
        <v>-273000</v>
      </c>
      <c r="O55" s="12">
        <f>-148000</f>
        <v>-148000</v>
      </c>
      <c r="P55" s="12">
        <v>-169500</v>
      </c>
      <c r="Q55" s="12">
        <f>-48000-146500</f>
        <v>-194500</v>
      </c>
      <c r="R55" s="12">
        <f>-48000-146500</f>
        <v>-194500</v>
      </c>
      <c r="S55" s="13">
        <f>-48000-146500</f>
        <v>-194500</v>
      </c>
      <c r="T55" s="71">
        <f t="shared" si="25"/>
        <v>-1456607</v>
      </c>
    </row>
    <row r="56" spans="9:20" x14ac:dyDescent="0.25">
      <c r="I56" s="7" t="s">
        <v>22</v>
      </c>
      <c r="J56" s="14">
        <f>J45+J46</f>
        <v>38889.224238734227</v>
      </c>
      <c r="K56" s="14">
        <f>K45+K46</f>
        <v>24942.333333333314</v>
      </c>
      <c r="L56" s="14">
        <f t="shared" ref="L56:M56" si="34">L45+L46</f>
        <v>24842.333333333314</v>
      </c>
      <c r="M56" s="14">
        <f t="shared" si="34"/>
        <v>-12924.333333333372</v>
      </c>
      <c r="N56" s="14">
        <f t="shared" ref="N56:S56" si="35">N45+N46</f>
        <v>1174</v>
      </c>
      <c r="O56" s="14">
        <f t="shared" si="35"/>
        <v>170429</v>
      </c>
      <c r="P56" s="14">
        <f t="shared" si="35"/>
        <v>147429</v>
      </c>
      <c r="Q56" s="14">
        <f t="shared" si="35"/>
        <v>123729</v>
      </c>
      <c r="R56" s="14">
        <f t="shared" si="35"/>
        <v>124229</v>
      </c>
      <c r="S56" s="17">
        <f t="shared" si="35"/>
        <v>130229</v>
      </c>
      <c r="T56" s="72">
        <f t="shared" si="25"/>
        <v>772968.55757206748</v>
      </c>
    </row>
    <row r="57" spans="9:20" x14ac:dyDescent="0.25">
      <c r="I57" s="25" t="s">
        <v>25</v>
      </c>
      <c r="J57" s="26">
        <v>-21576</v>
      </c>
      <c r="K57" s="26">
        <f>-21577</f>
        <v>-21577</v>
      </c>
      <c r="L57" s="26">
        <v>-21577</v>
      </c>
      <c r="M57" s="26">
        <v>-21577</v>
      </c>
      <c r="N57" s="12">
        <v>-21577</v>
      </c>
      <c r="O57" s="26">
        <f>-21577+55743</f>
        <v>34166</v>
      </c>
      <c r="P57" s="26">
        <f>-21577-250000-20000</f>
        <v>-291577</v>
      </c>
      <c r="Q57" s="26">
        <f>-21577</f>
        <v>-21577</v>
      </c>
      <c r="R57" s="12">
        <f>-21577</f>
        <v>-21577</v>
      </c>
      <c r="S57" s="13">
        <f>250096+265214+20606</f>
        <v>535916</v>
      </c>
      <c r="T57" s="71">
        <f t="shared" si="25"/>
        <v>127467</v>
      </c>
    </row>
    <row r="58" spans="9:20" x14ac:dyDescent="0.25">
      <c r="I58" s="45" t="s">
        <v>95</v>
      </c>
      <c r="J58" s="12">
        <v>-3000</v>
      </c>
      <c r="K58" s="12">
        <v>-4200</v>
      </c>
      <c r="L58" s="12">
        <v>-3700</v>
      </c>
      <c r="M58" s="12">
        <v>-3700</v>
      </c>
      <c r="N58" s="12">
        <v>-3000</v>
      </c>
      <c r="O58" s="12">
        <v>-3000</v>
      </c>
      <c r="P58" s="12">
        <v>-3700</v>
      </c>
      <c r="Q58" s="12">
        <v>-3700</v>
      </c>
      <c r="R58" s="12">
        <v>-3700</v>
      </c>
      <c r="S58" s="13">
        <v>-3700</v>
      </c>
      <c r="T58" s="71">
        <f t="shared" si="25"/>
        <v>-35400</v>
      </c>
    </row>
    <row r="59" spans="9:20" ht="15.75" thickBot="1" x14ac:dyDescent="0.3">
      <c r="I59" s="11" t="s">
        <v>23</v>
      </c>
      <c r="J59" s="16">
        <f>J56+J57+J58</f>
        <v>14313.224238734227</v>
      </c>
      <c r="K59" s="16">
        <f>K56+K57+K58</f>
        <v>-834.66666666668607</v>
      </c>
      <c r="L59" s="16">
        <f t="shared" ref="L59:N59" si="36">L56+L57+L58</f>
        <v>-434.66666666668607</v>
      </c>
      <c r="M59" s="16">
        <f t="shared" si="36"/>
        <v>-38201.333333333372</v>
      </c>
      <c r="N59" s="16">
        <f t="shared" si="36"/>
        <v>-23403</v>
      </c>
      <c r="O59" s="16">
        <f>O56+O57</f>
        <v>204595</v>
      </c>
      <c r="P59" s="16">
        <f>P56+P57+P58</f>
        <v>-147848</v>
      </c>
      <c r="Q59" s="16">
        <f t="shared" ref="Q59:S59" si="37">Q56+Q57+Q58</f>
        <v>98452</v>
      </c>
      <c r="R59" s="16">
        <f t="shared" si="37"/>
        <v>98952</v>
      </c>
      <c r="S59" s="18">
        <f t="shared" si="37"/>
        <v>662445</v>
      </c>
      <c r="T59" s="73">
        <f t="shared" si="25"/>
        <v>868035.55757206748</v>
      </c>
    </row>
    <row r="61" spans="9:20" x14ac:dyDescent="0.25"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8396-393C-4CD0-876B-FC9C9BD93B6A}">
  <dimension ref="A1:T61"/>
  <sheetViews>
    <sheetView zoomScale="85" zoomScaleNormal="85" workbookViewId="0">
      <selection activeCell="F25" sqref="F25"/>
    </sheetView>
  </sheetViews>
  <sheetFormatPr defaultColWidth="20.7109375" defaultRowHeight="15" x14ac:dyDescent="0.25"/>
  <cols>
    <col min="1" max="1" width="34.28515625" bestFit="1" customWidth="1"/>
    <col min="2" max="4" width="8.7109375" bestFit="1" customWidth="1"/>
    <col min="5" max="5" width="9" bestFit="1" customWidth="1"/>
    <col min="6" max="6" width="8.7109375" bestFit="1" customWidth="1"/>
    <col min="7" max="7" width="9" bestFit="1" customWidth="1"/>
    <col min="9" max="9" width="35.42578125" bestFit="1" customWidth="1"/>
    <col min="10" max="10" width="35.42578125" customWidth="1"/>
  </cols>
  <sheetData>
    <row r="1" spans="1:20" x14ac:dyDescent="0.25">
      <c r="A1" s="77"/>
      <c r="B1" s="77">
        <v>2019</v>
      </c>
      <c r="C1" s="77">
        <v>2020</v>
      </c>
      <c r="D1" s="77">
        <v>2021</v>
      </c>
      <c r="E1" s="77">
        <v>2022</v>
      </c>
      <c r="F1" s="77">
        <v>2023</v>
      </c>
      <c r="G1" s="77" t="s">
        <v>30</v>
      </c>
      <c r="I1" s="21" t="s">
        <v>142</v>
      </c>
      <c r="J1" s="75">
        <v>2019</v>
      </c>
      <c r="K1" s="5">
        <v>2020</v>
      </c>
      <c r="L1" s="5">
        <v>2021</v>
      </c>
      <c r="M1" s="5">
        <v>2022</v>
      </c>
      <c r="N1" s="5">
        <v>2023</v>
      </c>
      <c r="O1" s="5">
        <v>2024</v>
      </c>
      <c r="P1" s="5">
        <v>2025</v>
      </c>
      <c r="Q1" s="5">
        <v>2026</v>
      </c>
      <c r="R1" s="5">
        <v>2027</v>
      </c>
      <c r="S1" s="6">
        <v>2028</v>
      </c>
      <c r="T1" s="68" t="s">
        <v>30</v>
      </c>
    </row>
    <row r="2" spans="1:20" x14ac:dyDescent="0.25">
      <c r="A2" s="80" t="s">
        <v>119</v>
      </c>
      <c r="B2" s="81">
        <v>6980</v>
      </c>
      <c r="C2" s="81">
        <v>-22885.948717948748</v>
      </c>
      <c r="D2" s="81">
        <v>-22485.948717948748</v>
      </c>
      <c r="E2" s="81">
        <v>-22585.948717948748</v>
      </c>
      <c r="F2" s="81">
        <v>-9582.4871794871287</v>
      </c>
      <c r="G2" s="82">
        <f>SUM(B2:F2)</f>
        <v>-70560.333333333372</v>
      </c>
      <c r="I2" s="7" t="s">
        <v>0</v>
      </c>
      <c r="J2" s="2">
        <f>SUM(J3:J6)</f>
        <v>582293.89090540074</v>
      </c>
      <c r="K2" s="2">
        <f>SUM(K3:K6)</f>
        <v>488992.05128205125</v>
      </c>
      <c r="L2" s="2">
        <f t="shared" ref="L2:N2" si="0">SUM(L3:L6)</f>
        <v>488892.05128205125</v>
      </c>
      <c r="M2" s="2">
        <f>SUM(M3:M6)</f>
        <v>488792.05128205125</v>
      </c>
      <c r="N2" s="2">
        <f t="shared" si="0"/>
        <v>688095.51282051287</v>
      </c>
      <c r="O2" s="2">
        <f>SUM(O3:O5)</f>
        <v>756530</v>
      </c>
      <c r="P2" s="2">
        <f t="shared" ref="P2:S2" si="1">SUM(P3:P5)</f>
        <v>755030</v>
      </c>
      <c r="Q2" s="2">
        <f t="shared" si="1"/>
        <v>756330</v>
      </c>
      <c r="R2" s="2">
        <f t="shared" si="1"/>
        <v>756830</v>
      </c>
      <c r="S2" s="8">
        <f t="shared" si="1"/>
        <v>762830</v>
      </c>
      <c r="T2" s="69">
        <f>SUM(J2:S2)</f>
        <v>6524615.5575720668</v>
      </c>
    </row>
    <row r="3" spans="1:20" x14ac:dyDescent="0.25">
      <c r="A3" s="77" t="s">
        <v>128</v>
      </c>
      <c r="B3" s="78">
        <f>J34-J4</f>
        <v>0</v>
      </c>
      <c r="C3" s="78">
        <v>0</v>
      </c>
      <c r="D3" s="78">
        <v>0</v>
      </c>
      <c r="E3" s="78">
        <f>M33-M3</f>
        <v>135000</v>
      </c>
      <c r="F3" s="78">
        <f>N33-N3</f>
        <v>45000</v>
      </c>
      <c r="G3" s="79">
        <f t="shared" ref="G3:G6" si="2">SUM(B3:F3)</f>
        <v>180000</v>
      </c>
      <c r="I3" s="9" t="s">
        <v>1</v>
      </c>
      <c r="J3" s="4">
        <v>396000</v>
      </c>
      <c r="K3" s="4">
        <v>396000</v>
      </c>
      <c r="L3" s="4">
        <v>396000</v>
      </c>
      <c r="M3" s="4">
        <v>396000</v>
      </c>
      <c r="N3" s="4">
        <f>33000*12+9*29085</f>
        <v>657765</v>
      </c>
      <c r="O3" s="4">
        <f>33000*12+29085*12</f>
        <v>745020</v>
      </c>
      <c r="P3" s="4">
        <f t="shared" ref="P3:S3" si="3">33000*12+29085*12</f>
        <v>745020</v>
      </c>
      <c r="Q3" s="4">
        <f t="shared" si="3"/>
        <v>745020</v>
      </c>
      <c r="R3" s="4">
        <f t="shared" si="3"/>
        <v>745020</v>
      </c>
      <c r="S3" s="10">
        <f t="shared" si="3"/>
        <v>745020</v>
      </c>
      <c r="T3" s="70">
        <f t="shared" ref="T3:T29" si="4">SUM(J3:S3)</f>
        <v>5966865</v>
      </c>
    </row>
    <row r="4" spans="1:20" x14ac:dyDescent="0.25">
      <c r="A4" s="77" t="s">
        <v>129</v>
      </c>
      <c r="B4" s="78">
        <f>J35-J5</f>
        <v>25666.666666666744</v>
      </c>
      <c r="C4" s="78">
        <f t="shared" ref="C4:F4" si="5">K35-K5</f>
        <v>80051.282051282062</v>
      </c>
      <c r="D4" s="78">
        <f t="shared" si="5"/>
        <v>-1615.3846153846098</v>
      </c>
      <c r="E4" s="78">
        <f t="shared" si="5"/>
        <v>-83282.051282051281</v>
      </c>
      <c r="F4" s="78">
        <f t="shared" si="5"/>
        <v>-20820.51282051282</v>
      </c>
      <c r="G4" s="79">
        <f t="shared" si="2"/>
        <v>9.4587448984384537E-11</v>
      </c>
      <c r="I4" s="9" t="s">
        <v>2</v>
      </c>
      <c r="J4" s="4">
        <v>1620</v>
      </c>
      <c r="K4" s="4">
        <f>(14000+1620)/2</f>
        <v>7810</v>
      </c>
      <c r="L4" s="4">
        <f t="shared" ref="L4:M4" si="6">(14000+1620)/2</f>
        <v>7810</v>
      </c>
      <c r="M4" s="4">
        <f t="shared" si="6"/>
        <v>7810</v>
      </c>
      <c r="N4" s="4">
        <v>7810</v>
      </c>
      <c r="O4" s="4">
        <v>7810</v>
      </c>
      <c r="P4" s="4">
        <v>7810</v>
      </c>
      <c r="Q4" s="4">
        <v>7810</v>
      </c>
      <c r="R4" s="4">
        <v>7810</v>
      </c>
      <c r="S4" s="10">
        <v>7810</v>
      </c>
      <c r="T4" s="70">
        <f t="shared" si="4"/>
        <v>71910</v>
      </c>
    </row>
    <row r="5" spans="1:20" x14ac:dyDescent="0.25">
      <c r="A5" s="77" t="s">
        <v>130</v>
      </c>
      <c r="B5" s="78">
        <v>0</v>
      </c>
      <c r="C5" s="78">
        <v>0</v>
      </c>
      <c r="D5" s="78">
        <v>0</v>
      </c>
      <c r="E5" s="78">
        <f>M55-M25</f>
        <v>-123000</v>
      </c>
      <c r="F5" s="78">
        <f>N55-N25</f>
        <v>-38000</v>
      </c>
      <c r="G5" s="79">
        <f t="shared" si="2"/>
        <v>-161000</v>
      </c>
      <c r="I5" s="9" t="s">
        <v>3</v>
      </c>
      <c r="J5" s="4">
        <v>182640.33333333326</v>
      </c>
      <c r="K5" s="4">
        <f>12*Příspěvky!$B$13</f>
        <v>83282.051282051281</v>
      </c>
      <c r="L5" s="4">
        <f>12*Příspěvky!$B$13</f>
        <v>83282.051282051281</v>
      </c>
      <c r="M5" s="4">
        <f>12*Příspěvky!$B$13</f>
        <v>83282.051282051281</v>
      </c>
      <c r="N5" s="4">
        <f>3*Příspěvky!$B$13</f>
        <v>20820.51282051282</v>
      </c>
      <c r="O5" s="44">
        <v>3700</v>
      </c>
      <c r="P5" s="44">
        <v>2200</v>
      </c>
      <c r="Q5" s="44">
        <v>3500</v>
      </c>
      <c r="R5" s="44">
        <v>4000</v>
      </c>
      <c r="S5" s="74">
        <v>10000</v>
      </c>
      <c r="T5" s="67">
        <f t="shared" si="4"/>
        <v>476706.99999999983</v>
      </c>
    </row>
    <row r="6" spans="1:20" x14ac:dyDescent="0.25">
      <c r="A6" s="80" t="s">
        <v>118</v>
      </c>
      <c r="B6" s="81">
        <f>B2+SUM(B3:B5)</f>
        <v>32646.666666666744</v>
      </c>
      <c r="C6" s="81">
        <f t="shared" ref="C6:F6" si="7">C2+SUM(C3:C5)</f>
        <v>57165.333333333314</v>
      </c>
      <c r="D6" s="81">
        <f t="shared" si="7"/>
        <v>-24101.333333333358</v>
      </c>
      <c r="E6" s="81">
        <f t="shared" si="7"/>
        <v>-93868.000000000029</v>
      </c>
      <c r="F6" s="81">
        <f t="shared" si="7"/>
        <v>-23402.999999999949</v>
      </c>
      <c r="G6" s="82">
        <f t="shared" si="2"/>
        <v>-51560.333333333278</v>
      </c>
      <c r="I6" s="9" t="s">
        <v>4</v>
      </c>
      <c r="J6" s="44">
        <v>2033.5575720674997</v>
      </c>
      <c r="K6" s="44">
        <v>1900</v>
      </c>
      <c r="L6" s="44">
        <v>1800</v>
      </c>
      <c r="M6" s="44">
        <v>1700</v>
      </c>
      <c r="N6" s="44">
        <v>1700</v>
      </c>
      <c r="O6" s="44">
        <v>0</v>
      </c>
      <c r="P6" s="44">
        <v>0</v>
      </c>
      <c r="Q6" s="44">
        <v>0</v>
      </c>
      <c r="R6" s="44">
        <v>0</v>
      </c>
      <c r="S6" s="74">
        <v>0</v>
      </c>
      <c r="T6" s="67">
        <f t="shared" si="4"/>
        <v>9133.5575720675006</v>
      </c>
    </row>
    <row r="7" spans="1:20" x14ac:dyDescent="0.25">
      <c r="I7" s="7" t="s">
        <v>5</v>
      </c>
      <c r="J7" s="2">
        <v>-270800</v>
      </c>
      <c r="K7" s="2">
        <f>SUM(K8:K14)</f>
        <v>-270800</v>
      </c>
      <c r="L7" s="2">
        <f t="shared" ref="L7:M7" si="8">SUM(L8:L14)</f>
        <v>-270800</v>
      </c>
      <c r="M7" s="2">
        <f t="shared" si="8"/>
        <v>-270800</v>
      </c>
      <c r="N7" s="2">
        <f>SUM(N8:N14)</f>
        <v>-270800</v>
      </c>
      <c r="O7" s="2">
        <f>SUM(O8:O14)</f>
        <v>-270800</v>
      </c>
      <c r="P7" s="2">
        <f t="shared" ref="P7:S7" si="9">SUM(P8:P14)</f>
        <v>-270800</v>
      </c>
      <c r="Q7" s="2">
        <f t="shared" si="9"/>
        <v>-270800</v>
      </c>
      <c r="R7" s="2">
        <f t="shared" si="9"/>
        <v>-270800</v>
      </c>
      <c r="S7" s="8">
        <f t="shared" si="9"/>
        <v>-270800</v>
      </c>
      <c r="T7" s="69">
        <f t="shared" si="4"/>
        <v>-2708000</v>
      </c>
    </row>
    <row r="8" spans="1:20" x14ac:dyDescent="0.25">
      <c r="I8" s="9" t="s">
        <v>6</v>
      </c>
      <c r="J8" s="4">
        <v>-72000</v>
      </c>
      <c r="K8" s="4">
        <v>-72000</v>
      </c>
      <c r="L8" s="4">
        <v>-72000</v>
      </c>
      <c r="M8" s="4">
        <v>-72000</v>
      </c>
      <c r="N8" s="4">
        <v>-72000</v>
      </c>
      <c r="O8" s="4">
        <v>-72000</v>
      </c>
      <c r="P8" s="4">
        <v>-72000</v>
      </c>
      <c r="Q8" s="4">
        <v>-72000</v>
      </c>
      <c r="R8" s="4">
        <v>-72000</v>
      </c>
      <c r="S8" s="10">
        <v>-72000</v>
      </c>
      <c r="T8" s="70">
        <f t="shared" si="4"/>
        <v>-720000</v>
      </c>
    </row>
    <row r="9" spans="1:20" x14ac:dyDescent="0.25">
      <c r="I9" s="9" t="s">
        <v>7</v>
      </c>
      <c r="J9" s="4">
        <v>-7300</v>
      </c>
      <c r="K9" s="4">
        <v>-7300</v>
      </c>
      <c r="L9" s="4">
        <v>-7300</v>
      </c>
      <c r="M9" s="4">
        <v>-7300</v>
      </c>
      <c r="N9" s="4">
        <v>-7300</v>
      </c>
      <c r="O9" s="4">
        <v>-7300</v>
      </c>
      <c r="P9" s="4">
        <v>-7300</v>
      </c>
      <c r="Q9" s="4">
        <v>-7300</v>
      </c>
      <c r="R9" s="4">
        <v>-7300</v>
      </c>
      <c r="S9" s="10">
        <v>-7300</v>
      </c>
      <c r="T9" s="70">
        <f t="shared" si="4"/>
        <v>-73000</v>
      </c>
    </row>
    <row r="10" spans="1:20" x14ac:dyDescent="0.25">
      <c r="I10" s="9" t="s">
        <v>8</v>
      </c>
      <c r="J10" s="4">
        <v>-6000</v>
      </c>
      <c r="K10" s="4">
        <v>-6000</v>
      </c>
      <c r="L10" s="4">
        <v>-6000</v>
      </c>
      <c r="M10" s="4">
        <v>-6000</v>
      </c>
      <c r="N10" s="4">
        <v>-6000</v>
      </c>
      <c r="O10" s="4">
        <v>-6000</v>
      </c>
      <c r="P10" s="4">
        <v>-6000</v>
      </c>
      <c r="Q10" s="4">
        <v>-6000</v>
      </c>
      <c r="R10" s="4">
        <v>-6000</v>
      </c>
      <c r="S10" s="10">
        <v>-6000</v>
      </c>
      <c r="T10" s="70">
        <f t="shared" si="4"/>
        <v>-60000</v>
      </c>
    </row>
    <row r="11" spans="1:20" x14ac:dyDescent="0.25">
      <c r="I11" s="9" t="s">
        <v>9</v>
      </c>
      <c r="J11" s="4">
        <v>-120000</v>
      </c>
      <c r="K11" s="4">
        <v>-120000</v>
      </c>
      <c r="L11" s="4">
        <v>-120000</v>
      </c>
      <c r="M11" s="4">
        <v>-120000</v>
      </c>
      <c r="N11" s="4">
        <v>-120000</v>
      </c>
      <c r="O11" s="4">
        <v>-120000</v>
      </c>
      <c r="P11" s="4">
        <v>-120000</v>
      </c>
      <c r="Q11" s="4">
        <v>-120000</v>
      </c>
      <c r="R11" s="4">
        <v>-120000</v>
      </c>
      <c r="S11" s="10">
        <v>-120000</v>
      </c>
      <c r="T11" s="70">
        <f t="shared" si="4"/>
        <v>-1200000</v>
      </c>
    </row>
    <row r="12" spans="1:20" x14ac:dyDescent="0.25">
      <c r="I12" s="9" t="s">
        <v>15</v>
      </c>
      <c r="J12" s="12">
        <v>-28800</v>
      </c>
      <c r="K12" s="12">
        <v>-28800</v>
      </c>
      <c r="L12" s="12">
        <v>-28800</v>
      </c>
      <c r="M12" s="12">
        <v>-28800</v>
      </c>
      <c r="N12" s="12">
        <v>-28800</v>
      </c>
      <c r="O12" s="12">
        <v>-28800</v>
      </c>
      <c r="P12" s="12">
        <v>-28800</v>
      </c>
      <c r="Q12" s="12">
        <v>-28800</v>
      </c>
      <c r="R12" s="12">
        <v>-28800</v>
      </c>
      <c r="S12" s="13">
        <v>-28800</v>
      </c>
      <c r="T12" s="71">
        <f t="shared" si="4"/>
        <v>-288000</v>
      </c>
    </row>
    <row r="13" spans="1:20" x14ac:dyDescent="0.25">
      <c r="A13" s="1"/>
      <c r="B13" s="1"/>
      <c r="C13" s="1"/>
      <c r="D13" s="1"/>
      <c r="E13" s="1"/>
      <c r="F13" s="1"/>
      <c r="G13" s="1"/>
      <c r="I13" s="9" t="s">
        <v>16</v>
      </c>
      <c r="J13" s="12">
        <v>-17500</v>
      </c>
      <c r="K13" s="12">
        <v>-17500</v>
      </c>
      <c r="L13" s="12">
        <v>-17500</v>
      </c>
      <c r="M13" s="12">
        <v>-17500</v>
      </c>
      <c r="N13" s="12">
        <v>-17500</v>
      </c>
      <c r="O13" s="12">
        <v>-17500</v>
      </c>
      <c r="P13" s="12">
        <v>-17500</v>
      </c>
      <c r="Q13" s="12">
        <v>-17500</v>
      </c>
      <c r="R13" s="12">
        <v>-17500</v>
      </c>
      <c r="S13" s="13">
        <v>-17500</v>
      </c>
      <c r="T13" s="71">
        <f t="shared" si="4"/>
        <v>-175000</v>
      </c>
    </row>
    <row r="14" spans="1:20" x14ac:dyDescent="0.25">
      <c r="A14" s="1"/>
      <c r="B14" s="1"/>
      <c r="C14" s="1"/>
      <c r="D14" s="1"/>
      <c r="E14" s="1"/>
      <c r="F14" s="1"/>
      <c r="G14" s="1"/>
      <c r="I14" s="9" t="s">
        <v>17</v>
      </c>
      <c r="J14" s="12">
        <v>-19200</v>
      </c>
      <c r="K14" s="12">
        <v>-19200</v>
      </c>
      <c r="L14" s="12">
        <v>-19200</v>
      </c>
      <c r="M14" s="12">
        <v>-19200</v>
      </c>
      <c r="N14" s="12">
        <v>-19200</v>
      </c>
      <c r="O14" s="12">
        <v>-19200</v>
      </c>
      <c r="P14" s="12">
        <v>-19200</v>
      </c>
      <c r="Q14" s="12">
        <v>-19200</v>
      </c>
      <c r="R14" s="12">
        <v>-19200</v>
      </c>
      <c r="S14" s="13">
        <v>-19200</v>
      </c>
      <c r="T14" s="71">
        <f t="shared" si="4"/>
        <v>-192000</v>
      </c>
    </row>
    <row r="15" spans="1:20" x14ac:dyDescent="0.25">
      <c r="A15" s="1"/>
      <c r="B15" s="1"/>
      <c r="C15" s="1"/>
      <c r="D15" s="1"/>
      <c r="E15" s="1"/>
      <c r="F15" s="1"/>
      <c r="G15" s="1"/>
      <c r="I15" s="7" t="s">
        <v>31</v>
      </c>
      <c r="J15" s="2">
        <f>J2+J7</f>
        <v>311493.89090540074</v>
      </c>
      <c r="K15" s="2">
        <f>K2+K7</f>
        <v>218192.05128205125</v>
      </c>
      <c r="L15" s="2">
        <f t="shared" ref="L15:M15" si="10">L2+L7</f>
        <v>218092.05128205125</v>
      </c>
      <c r="M15" s="2">
        <f t="shared" si="10"/>
        <v>217992.05128205125</v>
      </c>
      <c r="N15" s="2">
        <f t="shared" ref="N15:S15" si="11">N2+N7</f>
        <v>417295.51282051287</v>
      </c>
      <c r="O15" s="2">
        <f t="shared" si="11"/>
        <v>485730</v>
      </c>
      <c r="P15" s="2">
        <f t="shared" si="11"/>
        <v>484230</v>
      </c>
      <c r="Q15" s="2">
        <f t="shared" si="11"/>
        <v>485530</v>
      </c>
      <c r="R15" s="2">
        <f t="shared" si="11"/>
        <v>486030</v>
      </c>
      <c r="S15" s="8">
        <f t="shared" si="11"/>
        <v>492030</v>
      </c>
      <c r="T15" s="69">
        <f t="shared" si="4"/>
        <v>3816615.5575720672</v>
      </c>
    </row>
    <row r="16" spans="1:20" x14ac:dyDescent="0.25">
      <c r="A16" s="1"/>
      <c r="B16" s="1"/>
      <c r="C16" s="1"/>
      <c r="D16" s="1"/>
      <c r="E16" s="1"/>
      <c r="F16" s="1"/>
      <c r="G16" s="1"/>
      <c r="I16" s="7" t="s">
        <v>10</v>
      </c>
      <c r="J16" s="2">
        <f t="shared" ref="J16:S16" si="12">SUM(J17:J25)</f>
        <v>-279938</v>
      </c>
      <c r="K16" s="2">
        <f t="shared" si="12"/>
        <v>-215301</v>
      </c>
      <c r="L16" s="2">
        <f t="shared" si="12"/>
        <v>-215301</v>
      </c>
      <c r="M16" s="2">
        <f t="shared" si="12"/>
        <v>-215301</v>
      </c>
      <c r="N16" s="2">
        <f t="shared" si="12"/>
        <v>-402301</v>
      </c>
      <c r="O16" s="2">
        <f t="shared" si="12"/>
        <v>-315301</v>
      </c>
      <c r="P16" s="2">
        <f t="shared" si="12"/>
        <v>-336801</v>
      </c>
      <c r="Q16" s="2">
        <f t="shared" si="12"/>
        <v>-361801</v>
      </c>
      <c r="R16" s="2">
        <f t="shared" si="12"/>
        <v>-361801</v>
      </c>
      <c r="S16" s="8">
        <f t="shared" si="12"/>
        <v>-361801</v>
      </c>
      <c r="T16" s="69">
        <f t="shared" si="4"/>
        <v>-3065647</v>
      </c>
    </row>
    <row r="17" spans="1:20" x14ac:dyDescent="0.25">
      <c r="A17" s="1"/>
      <c r="B17" s="1"/>
      <c r="C17" s="1"/>
      <c r="D17" s="1"/>
      <c r="E17" s="1"/>
      <c r="F17" s="1"/>
      <c r="G17" s="1"/>
      <c r="I17" s="9" t="s">
        <v>11</v>
      </c>
      <c r="J17" s="12">
        <v>-21009</v>
      </c>
      <c r="K17" s="12">
        <v>-18360</v>
      </c>
      <c r="L17" s="12">
        <v>-18360</v>
      </c>
      <c r="M17" s="12">
        <v>-18360</v>
      </c>
      <c r="N17" s="12">
        <v>-18360</v>
      </c>
      <c r="O17" s="12">
        <v>-18360</v>
      </c>
      <c r="P17" s="12">
        <v>-18360</v>
      </c>
      <c r="Q17" s="12">
        <v>-18360</v>
      </c>
      <c r="R17" s="12">
        <v>-18360</v>
      </c>
      <c r="S17" s="13">
        <v>-18360</v>
      </c>
      <c r="T17" s="71">
        <f t="shared" si="4"/>
        <v>-186249</v>
      </c>
    </row>
    <row r="18" spans="1:20" x14ac:dyDescent="0.25">
      <c r="A18" s="1"/>
      <c r="B18" s="1"/>
      <c r="C18" s="1"/>
      <c r="D18" s="1"/>
      <c r="E18" s="1"/>
      <c r="F18" s="1"/>
      <c r="G18" s="1"/>
      <c r="I18" s="9" t="s">
        <v>12</v>
      </c>
      <c r="J18" s="12">
        <v>-8922</v>
      </c>
      <c r="K18" s="12">
        <v>-6000</v>
      </c>
      <c r="L18" s="12">
        <v>-6000</v>
      </c>
      <c r="M18" s="12">
        <v>-6000</v>
      </c>
      <c r="N18" s="12">
        <v>-6000</v>
      </c>
      <c r="O18" s="12">
        <v>-6000</v>
      </c>
      <c r="P18" s="12">
        <v>-6000</v>
      </c>
      <c r="Q18" s="12">
        <v>-6000</v>
      </c>
      <c r="R18" s="12">
        <v>-6000</v>
      </c>
      <c r="S18" s="13">
        <v>-6000</v>
      </c>
      <c r="T18" s="71">
        <f t="shared" si="4"/>
        <v>-62922</v>
      </c>
    </row>
    <row r="19" spans="1:20" x14ac:dyDescent="0.25">
      <c r="A19" s="1"/>
      <c r="B19" s="1"/>
      <c r="C19" s="1"/>
      <c r="D19" s="1"/>
      <c r="E19" s="1"/>
      <c r="F19" s="1"/>
      <c r="G19" s="1"/>
      <c r="I19" s="9" t="s">
        <v>13</v>
      </c>
      <c r="J19" s="12">
        <v>-25341</v>
      </c>
      <c r="K19" s="12">
        <v>-25341</v>
      </c>
      <c r="L19" s="12">
        <v>-25341</v>
      </c>
      <c r="M19" s="12">
        <v>-25341</v>
      </c>
      <c r="N19" s="12">
        <v>-25341</v>
      </c>
      <c r="O19" s="12">
        <v>-25341</v>
      </c>
      <c r="P19" s="12">
        <v>-25341</v>
      </c>
      <c r="Q19" s="12">
        <v>-25341</v>
      </c>
      <c r="R19" s="12">
        <v>-25341</v>
      </c>
      <c r="S19" s="13">
        <v>-25341</v>
      </c>
      <c r="T19" s="71">
        <f t="shared" si="4"/>
        <v>-253410</v>
      </c>
    </row>
    <row r="20" spans="1:20" x14ac:dyDescent="0.25">
      <c r="A20" s="1"/>
      <c r="B20" s="1"/>
      <c r="C20" s="1"/>
      <c r="D20" s="1"/>
      <c r="E20" s="1"/>
      <c r="F20" s="1"/>
      <c r="G20" s="1"/>
      <c r="I20" s="9" t="s">
        <v>14</v>
      </c>
      <c r="J20" s="12">
        <v>-25563</v>
      </c>
      <c r="K20" s="12">
        <f>-1500*12</f>
        <v>-18000</v>
      </c>
      <c r="L20" s="12">
        <f t="shared" ref="L20:M20" si="13">-1500*12</f>
        <v>-18000</v>
      </c>
      <c r="M20" s="12">
        <f t="shared" si="13"/>
        <v>-18000</v>
      </c>
      <c r="N20" s="12">
        <f>-1500*12</f>
        <v>-18000</v>
      </c>
      <c r="O20" s="12">
        <v>-18000</v>
      </c>
      <c r="P20" s="12">
        <v>-18000</v>
      </c>
      <c r="Q20" s="12">
        <v>-18000</v>
      </c>
      <c r="R20" s="12">
        <v>-18000</v>
      </c>
      <c r="S20" s="13">
        <v>-18000</v>
      </c>
      <c r="T20" s="71">
        <f t="shared" si="4"/>
        <v>-187563</v>
      </c>
    </row>
    <row r="21" spans="1:20" x14ac:dyDescent="0.25">
      <c r="A21" s="1"/>
      <c r="B21" s="1"/>
      <c r="C21" s="1"/>
      <c r="D21" s="1"/>
      <c r="E21" s="1"/>
      <c r="F21" s="1"/>
      <c r="G21" s="1"/>
      <c r="I21" s="9" t="s">
        <v>18</v>
      </c>
      <c r="J21" s="12">
        <v>-16139</v>
      </c>
      <c r="K21" s="12">
        <f>-12000</f>
        <v>-12000</v>
      </c>
      <c r="L21" s="12">
        <f t="shared" ref="L21:M21" si="14">-12000</f>
        <v>-12000</v>
      </c>
      <c r="M21" s="12">
        <f t="shared" si="14"/>
        <v>-12000</v>
      </c>
      <c r="N21" s="12">
        <f>-12000</f>
        <v>-12000</v>
      </c>
      <c r="O21" s="12">
        <v>-12000</v>
      </c>
      <c r="P21" s="12">
        <v>-12000</v>
      </c>
      <c r="Q21" s="12">
        <v>-12000</v>
      </c>
      <c r="R21" s="12">
        <v>-12000</v>
      </c>
      <c r="S21" s="13">
        <v>-12000</v>
      </c>
      <c r="T21" s="71">
        <f t="shared" si="4"/>
        <v>-124139</v>
      </c>
    </row>
    <row r="22" spans="1:20" x14ac:dyDescent="0.25">
      <c r="A22" s="1"/>
      <c r="B22" s="1"/>
      <c r="C22" s="1"/>
      <c r="D22" s="1"/>
      <c r="E22" s="1"/>
      <c r="F22" s="1"/>
      <c r="G22" s="1"/>
      <c r="I22" s="9" t="s">
        <v>19</v>
      </c>
      <c r="J22" s="12">
        <v>-52000</v>
      </c>
      <c r="K22" s="12">
        <v>-30000</v>
      </c>
      <c r="L22" s="12">
        <v>-30000</v>
      </c>
      <c r="M22" s="12">
        <v>-30000</v>
      </c>
      <c r="N22" s="12">
        <v>-30000</v>
      </c>
      <c r="O22" s="12">
        <v>-30000</v>
      </c>
      <c r="P22" s="12">
        <v>-30000</v>
      </c>
      <c r="Q22" s="12">
        <v>-30000</v>
      </c>
      <c r="R22" s="12">
        <v>-30000</v>
      </c>
      <c r="S22" s="13">
        <v>-30000</v>
      </c>
      <c r="T22" s="71">
        <f t="shared" si="4"/>
        <v>-322000</v>
      </c>
    </row>
    <row r="23" spans="1:20" x14ac:dyDescent="0.25">
      <c r="I23" s="9" t="s">
        <v>20</v>
      </c>
      <c r="J23" s="12">
        <v>-34392</v>
      </c>
      <c r="K23" s="12">
        <v>-33600</v>
      </c>
      <c r="L23" s="12">
        <v>-33600</v>
      </c>
      <c r="M23" s="12">
        <v>-33600</v>
      </c>
      <c r="N23" s="12">
        <v>-33600</v>
      </c>
      <c r="O23" s="12">
        <v>-33600</v>
      </c>
      <c r="P23" s="12">
        <v>-33600</v>
      </c>
      <c r="Q23" s="12">
        <v>-33600</v>
      </c>
      <c r="R23" s="12">
        <v>-33600</v>
      </c>
      <c r="S23" s="13">
        <v>-33600</v>
      </c>
      <c r="T23" s="71">
        <f t="shared" si="4"/>
        <v>-336792</v>
      </c>
    </row>
    <row r="24" spans="1:20" x14ac:dyDescent="0.25">
      <c r="I24" s="9" t="s">
        <v>29</v>
      </c>
      <c r="J24" s="12">
        <v>-32965</v>
      </c>
      <c r="K24" s="12">
        <v>-24000</v>
      </c>
      <c r="L24" s="12">
        <v>-24000</v>
      </c>
      <c r="M24" s="12">
        <v>-24000</v>
      </c>
      <c r="N24" s="12">
        <v>-24000</v>
      </c>
      <c r="O24" s="12">
        <v>-24000</v>
      </c>
      <c r="P24" s="12">
        <v>-24000</v>
      </c>
      <c r="Q24" s="12">
        <v>-24000</v>
      </c>
      <c r="R24" s="12">
        <v>-24000</v>
      </c>
      <c r="S24" s="13">
        <v>-24000</v>
      </c>
      <c r="T24" s="71">
        <f t="shared" si="4"/>
        <v>-248965</v>
      </c>
    </row>
    <row r="25" spans="1:20" x14ac:dyDescent="0.25">
      <c r="I25" s="9" t="s">
        <v>21</v>
      </c>
      <c r="J25" s="12">
        <v>-63607</v>
      </c>
      <c r="K25" s="12">
        <v>-48000</v>
      </c>
      <c r="L25" s="12">
        <v>-48000</v>
      </c>
      <c r="M25" s="12">
        <v>-48000</v>
      </c>
      <c r="N25" s="12">
        <f>-48000-187000</f>
        <v>-235000</v>
      </c>
      <c r="O25" s="12">
        <f>-148000</f>
        <v>-148000</v>
      </c>
      <c r="P25" s="12">
        <v>-169500</v>
      </c>
      <c r="Q25" s="12">
        <f>-48000-146500</f>
        <v>-194500</v>
      </c>
      <c r="R25" s="12">
        <f>-48000-146500</f>
        <v>-194500</v>
      </c>
      <c r="S25" s="13">
        <f>-48000-146500</f>
        <v>-194500</v>
      </c>
      <c r="T25" s="71">
        <f t="shared" si="4"/>
        <v>-1343607</v>
      </c>
    </row>
    <row r="26" spans="1:20" x14ac:dyDescent="0.25">
      <c r="I26" s="7" t="s">
        <v>22</v>
      </c>
      <c r="J26" s="14">
        <f>J15+J16</f>
        <v>31555.890905400738</v>
      </c>
      <c r="K26" s="14">
        <f>K15+K16</f>
        <v>2891.0512820512522</v>
      </c>
      <c r="L26" s="14">
        <f t="shared" ref="L26:M26" si="15">L15+L16</f>
        <v>2791.0512820512522</v>
      </c>
      <c r="M26" s="14">
        <f t="shared" si="15"/>
        <v>2691.0512820512522</v>
      </c>
      <c r="N26" s="14">
        <f t="shared" ref="N26:S26" si="16">N15+N16</f>
        <v>14994.512820512871</v>
      </c>
      <c r="O26" s="14">
        <f t="shared" si="16"/>
        <v>170429</v>
      </c>
      <c r="P26" s="14">
        <f t="shared" si="16"/>
        <v>147429</v>
      </c>
      <c r="Q26" s="14">
        <f t="shared" si="16"/>
        <v>123729</v>
      </c>
      <c r="R26" s="14">
        <f t="shared" si="16"/>
        <v>124229</v>
      </c>
      <c r="S26" s="17">
        <f t="shared" si="16"/>
        <v>130229</v>
      </c>
      <c r="T26" s="72">
        <f t="shared" si="4"/>
        <v>750968.55757206737</v>
      </c>
    </row>
    <row r="27" spans="1:20" x14ac:dyDescent="0.25">
      <c r="I27" s="25" t="s">
        <v>25</v>
      </c>
      <c r="J27" s="26">
        <v>-21576</v>
      </c>
      <c r="K27" s="26">
        <f>-21577</f>
        <v>-21577</v>
      </c>
      <c r="L27" s="26">
        <v>-21577</v>
      </c>
      <c r="M27" s="26">
        <v>-21577</v>
      </c>
      <c r="N27" s="12">
        <v>-21577</v>
      </c>
      <c r="O27" s="26">
        <f>-21577+55743</f>
        <v>34166</v>
      </c>
      <c r="P27" s="26">
        <f>-21577-250000-20000</f>
        <v>-291577</v>
      </c>
      <c r="Q27" s="26">
        <f>-21577</f>
        <v>-21577</v>
      </c>
      <c r="R27" s="12">
        <f>-21577</f>
        <v>-21577</v>
      </c>
      <c r="S27" s="13">
        <f>250096+265214+20606</f>
        <v>535916</v>
      </c>
      <c r="T27" s="71">
        <f t="shared" si="4"/>
        <v>127467</v>
      </c>
    </row>
    <row r="28" spans="1:20" x14ac:dyDescent="0.25">
      <c r="I28" s="45" t="s">
        <v>95</v>
      </c>
      <c r="J28" s="12">
        <v>-3000</v>
      </c>
      <c r="K28" s="12">
        <v>-4200</v>
      </c>
      <c r="L28" s="12">
        <v>-3700</v>
      </c>
      <c r="M28" s="12">
        <v>-3700</v>
      </c>
      <c r="N28" s="12">
        <v>-3000</v>
      </c>
      <c r="O28" s="12">
        <v>-3000</v>
      </c>
      <c r="P28" s="12">
        <v>-3700</v>
      </c>
      <c r="Q28" s="12">
        <v>-3700</v>
      </c>
      <c r="R28" s="12">
        <v>-3700</v>
      </c>
      <c r="S28" s="13">
        <v>-3700</v>
      </c>
      <c r="T28" s="71">
        <f t="shared" si="4"/>
        <v>-35400</v>
      </c>
    </row>
    <row r="29" spans="1:20" ht="15.75" thickBot="1" x14ac:dyDescent="0.3">
      <c r="I29" s="11" t="s">
        <v>23</v>
      </c>
      <c r="J29" s="16">
        <f>J26+J27+J28</f>
        <v>6979.8909054007381</v>
      </c>
      <c r="K29" s="16">
        <f>K26+K27+K28</f>
        <v>-22885.948717948748</v>
      </c>
      <c r="L29" s="16">
        <f t="shared" ref="L29:N29" si="17">L26+L27+L28</f>
        <v>-22485.948717948748</v>
      </c>
      <c r="M29" s="16">
        <f t="shared" si="17"/>
        <v>-22585.948717948748</v>
      </c>
      <c r="N29" s="16">
        <f t="shared" si="17"/>
        <v>-9582.4871794871287</v>
      </c>
      <c r="O29" s="16">
        <f>O26+O27</f>
        <v>204595</v>
      </c>
      <c r="P29" s="16">
        <f>P26+P27+P28</f>
        <v>-147848</v>
      </c>
      <c r="Q29" s="16">
        <f t="shared" ref="Q29:S29" si="18">Q26+Q27+Q28</f>
        <v>98452</v>
      </c>
      <c r="R29" s="16">
        <f t="shared" si="18"/>
        <v>98952</v>
      </c>
      <c r="S29" s="18">
        <f t="shared" si="18"/>
        <v>662445</v>
      </c>
      <c r="T29" s="73">
        <f t="shared" si="4"/>
        <v>846035.55757206737</v>
      </c>
    </row>
    <row r="30" spans="1:20" ht="15.75" thickBot="1" x14ac:dyDescent="0.3"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I31" s="21" t="s">
        <v>141</v>
      </c>
      <c r="J31" s="75">
        <v>2019</v>
      </c>
      <c r="K31" s="5">
        <v>2020</v>
      </c>
      <c r="L31" s="5">
        <v>2021</v>
      </c>
      <c r="M31" s="5">
        <v>2022</v>
      </c>
      <c r="N31" s="5">
        <v>2023</v>
      </c>
      <c r="O31" s="5">
        <v>2024</v>
      </c>
      <c r="P31" s="5">
        <v>2025</v>
      </c>
      <c r="Q31" s="5">
        <v>2026</v>
      </c>
      <c r="R31" s="5">
        <v>2027</v>
      </c>
      <c r="S31" s="6">
        <v>2028</v>
      </c>
      <c r="T31" s="68" t="s">
        <v>30</v>
      </c>
    </row>
    <row r="32" spans="1:20" x14ac:dyDescent="0.25">
      <c r="I32" s="7" t="s">
        <v>0</v>
      </c>
      <c r="J32" s="2">
        <f>SUM(J33:J36)</f>
        <v>607960.55757206748</v>
      </c>
      <c r="K32" s="2">
        <f>SUM(K33:K36)</f>
        <v>569043.33333333337</v>
      </c>
      <c r="L32" s="2">
        <f t="shared" ref="L32" si="19">SUM(L33:L36)</f>
        <v>487276.66666666669</v>
      </c>
      <c r="M32" s="2">
        <f>SUM(M33:M36)</f>
        <v>540510</v>
      </c>
      <c r="N32" s="2">
        <f t="shared" ref="N32" si="20">SUM(N33:N36)</f>
        <v>712275</v>
      </c>
      <c r="O32" s="2">
        <f>SUM(O33:O35)</f>
        <v>756530</v>
      </c>
      <c r="P32" s="2">
        <f t="shared" ref="P32:S32" si="21">SUM(P33:P35)</f>
        <v>755030</v>
      </c>
      <c r="Q32" s="2">
        <f t="shared" si="21"/>
        <v>756330</v>
      </c>
      <c r="R32" s="2">
        <f t="shared" si="21"/>
        <v>756830</v>
      </c>
      <c r="S32" s="8">
        <f t="shared" si="21"/>
        <v>762830</v>
      </c>
      <c r="T32" s="69">
        <f>SUM(J32:S32)</f>
        <v>6704615.5575720677</v>
      </c>
    </row>
    <row r="33" spans="9:20" x14ac:dyDescent="0.25">
      <c r="I33" s="9" t="s">
        <v>1</v>
      </c>
      <c r="J33" s="4">
        <v>396000</v>
      </c>
      <c r="K33" s="4">
        <v>396000</v>
      </c>
      <c r="L33" s="4">
        <v>396000</v>
      </c>
      <c r="M33" s="4">
        <f>396000+9*15000</f>
        <v>531000</v>
      </c>
      <c r="N33" s="4">
        <f>33000*12+9*29085+3*15000</f>
        <v>702765</v>
      </c>
      <c r="O33" s="4">
        <f>33000*12+29085*12</f>
        <v>745020</v>
      </c>
      <c r="P33" s="4">
        <f t="shared" ref="P33:S33" si="22">33000*12+29085*12</f>
        <v>745020</v>
      </c>
      <c r="Q33" s="4">
        <f t="shared" si="22"/>
        <v>745020</v>
      </c>
      <c r="R33" s="4">
        <f t="shared" si="22"/>
        <v>745020</v>
      </c>
      <c r="S33" s="10">
        <f t="shared" si="22"/>
        <v>745020</v>
      </c>
      <c r="T33" s="70">
        <f t="shared" ref="T33:T59" si="23">SUM(J33:S33)</f>
        <v>6146865</v>
      </c>
    </row>
    <row r="34" spans="9:20" x14ac:dyDescent="0.25">
      <c r="I34" s="9" t="s">
        <v>2</v>
      </c>
      <c r="J34" s="4">
        <v>1620</v>
      </c>
      <c r="K34" s="4">
        <f>(14000+1620)/2</f>
        <v>7810</v>
      </c>
      <c r="L34" s="4">
        <f t="shared" ref="L34:M34" si="24">(14000+1620)/2</f>
        <v>7810</v>
      </c>
      <c r="M34" s="4">
        <f t="shared" si="24"/>
        <v>7810</v>
      </c>
      <c r="N34" s="4">
        <v>7810</v>
      </c>
      <c r="O34" s="4">
        <v>7810</v>
      </c>
      <c r="P34" s="4">
        <v>7810</v>
      </c>
      <c r="Q34" s="4">
        <v>7810</v>
      </c>
      <c r="R34" s="4">
        <v>7810</v>
      </c>
      <c r="S34" s="10">
        <v>7810</v>
      </c>
      <c r="T34" s="70">
        <f t="shared" si="23"/>
        <v>71910</v>
      </c>
    </row>
    <row r="35" spans="9:20" x14ac:dyDescent="0.25">
      <c r="I35" s="9" t="s">
        <v>3</v>
      </c>
      <c r="J35" s="4">
        <f>SUM(Příspěvky!B7:G7)+6*Příspěvky!D10</f>
        <v>208307</v>
      </c>
      <c r="K35" s="4">
        <f>12*Příspěvky!D13</f>
        <v>163333.33333333334</v>
      </c>
      <c r="L35" s="4">
        <f>6*Příspěvky!D13</f>
        <v>81666.666666666672</v>
      </c>
      <c r="M35" s="4">
        <v>0</v>
      </c>
      <c r="N35" s="4">
        <v>0</v>
      </c>
      <c r="O35" s="44">
        <v>3700</v>
      </c>
      <c r="P35" s="44">
        <v>2200</v>
      </c>
      <c r="Q35" s="44">
        <v>3500</v>
      </c>
      <c r="R35" s="44">
        <v>4000</v>
      </c>
      <c r="S35" s="74">
        <v>10000</v>
      </c>
      <c r="T35" s="67">
        <f t="shared" si="23"/>
        <v>476707.00000000006</v>
      </c>
    </row>
    <row r="36" spans="9:20" x14ac:dyDescent="0.25">
      <c r="I36" s="9" t="s">
        <v>4</v>
      </c>
      <c r="J36" s="44">
        <v>2033.5575720674997</v>
      </c>
      <c r="K36" s="44">
        <v>1900</v>
      </c>
      <c r="L36" s="44">
        <v>1800</v>
      </c>
      <c r="M36" s="44">
        <v>1700</v>
      </c>
      <c r="N36" s="44">
        <v>1700</v>
      </c>
      <c r="O36" s="44">
        <v>0</v>
      </c>
      <c r="P36" s="44">
        <v>0</v>
      </c>
      <c r="Q36" s="44">
        <v>0</v>
      </c>
      <c r="R36" s="44">
        <v>0</v>
      </c>
      <c r="S36" s="74">
        <v>0</v>
      </c>
      <c r="T36" s="67">
        <f t="shared" si="23"/>
        <v>9133.5575720675006</v>
      </c>
    </row>
    <row r="37" spans="9:20" x14ac:dyDescent="0.25">
      <c r="I37" s="7" t="s">
        <v>5</v>
      </c>
      <c r="J37" s="2">
        <v>-270800</v>
      </c>
      <c r="K37" s="2">
        <f>SUM(K38:K44)</f>
        <v>-270800</v>
      </c>
      <c r="L37" s="2">
        <f t="shared" ref="L37:M37" si="25">SUM(L38:L44)</f>
        <v>-270800</v>
      </c>
      <c r="M37" s="2">
        <f t="shared" si="25"/>
        <v>-270800</v>
      </c>
      <c r="N37" s="2">
        <f>SUM(N38:N44)</f>
        <v>-270800</v>
      </c>
      <c r="O37" s="2">
        <f>SUM(O38:O44)</f>
        <v>-270800</v>
      </c>
      <c r="P37" s="2">
        <f t="shared" ref="P37:S37" si="26">SUM(P38:P44)</f>
        <v>-270800</v>
      </c>
      <c r="Q37" s="2">
        <f t="shared" si="26"/>
        <v>-270800</v>
      </c>
      <c r="R37" s="2">
        <f t="shared" si="26"/>
        <v>-270800</v>
      </c>
      <c r="S37" s="8">
        <f t="shared" si="26"/>
        <v>-270800</v>
      </c>
      <c r="T37" s="69">
        <f t="shared" si="23"/>
        <v>-2708000</v>
      </c>
    </row>
    <row r="38" spans="9:20" x14ac:dyDescent="0.25">
      <c r="I38" s="9" t="s">
        <v>6</v>
      </c>
      <c r="J38" s="4">
        <v>-72000</v>
      </c>
      <c r="K38" s="4">
        <v>-72000</v>
      </c>
      <c r="L38" s="4">
        <v>-72000</v>
      </c>
      <c r="M38" s="4">
        <v>-72000</v>
      </c>
      <c r="N38" s="4">
        <v>-72000</v>
      </c>
      <c r="O38" s="4">
        <v>-72000</v>
      </c>
      <c r="P38" s="4">
        <v>-72000</v>
      </c>
      <c r="Q38" s="4">
        <v>-72000</v>
      </c>
      <c r="R38" s="4">
        <v>-72000</v>
      </c>
      <c r="S38" s="10">
        <v>-72000</v>
      </c>
      <c r="T38" s="70">
        <f t="shared" si="23"/>
        <v>-720000</v>
      </c>
    </row>
    <row r="39" spans="9:20" x14ac:dyDescent="0.25">
      <c r="I39" s="9" t="s">
        <v>7</v>
      </c>
      <c r="J39" s="4">
        <v>-7300</v>
      </c>
      <c r="K39" s="4">
        <v>-7300</v>
      </c>
      <c r="L39" s="4">
        <v>-7300</v>
      </c>
      <c r="M39" s="4">
        <v>-7300</v>
      </c>
      <c r="N39" s="4">
        <v>-7300</v>
      </c>
      <c r="O39" s="4">
        <v>-7300</v>
      </c>
      <c r="P39" s="4">
        <v>-7300</v>
      </c>
      <c r="Q39" s="4">
        <v>-7300</v>
      </c>
      <c r="R39" s="4">
        <v>-7300</v>
      </c>
      <c r="S39" s="10">
        <v>-7300</v>
      </c>
      <c r="T39" s="70">
        <f t="shared" si="23"/>
        <v>-73000</v>
      </c>
    </row>
    <row r="40" spans="9:20" x14ac:dyDescent="0.25">
      <c r="I40" s="9" t="s">
        <v>8</v>
      </c>
      <c r="J40" s="4">
        <v>-6000</v>
      </c>
      <c r="K40" s="4">
        <v>-6000</v>
      </c>
      <c r="L40" s="4">
        <v>-6000</v>
      </c>
      <c r="M40" s="4">
        <v>-6000</v>
      </c>
      <c r="N40" s="4">
        <v>-6000</v>
      </c>
      <c r="O40" s="4">
        <v>-6000</v>
      </c>
      <c r="P40" s="4">
        <v>-6000</v>
      </c>
      <c r="Q40" s="4">
        <v>-6000</v>
      </c>
      <c r="R40" s="4">
        <v>-6000</v>
      </c>
      <c r="S40" s="10">
        <v>-6000</v>
      </c>
      <c r="T40" s="70">
        <f t="shared" si="23"/>
        <v>-60000</v>
      </c>
    </row>
    <row r="41" spans="9:20" x14ac:dyDescent="0.25">
      <c r="I41" s="9" t="s">
        <v>9</v>
      </c>
      <c r="J41" s="4">
        <v>-120000</v>
      </c>
      <c r="K41" s="4">
        <v>-120000</v>
      </c>
      <c r="L41" s="4">
        <v>-120000</v>
      </c>
      <c r="M41" s="4">
        <v>-120000</v>
      </c>
      <c r="N41" s="4">
        <v>-120000</v>
      </c>
      <c r="O41" s="4">
        <v>-120000</v>
      </c>
      <c r="P41" s="4">
        <v>-120000</v>
      </c>
      <c r="Q41" s="4">
        <v>-120000</v>
      </c>
      <c r="R41" s="4">
        <v>-120000</v>
      </c>
      <c r="S41" s="10">
        <v>-120000</v>
      </c>
      <c r="T41" s="70">
        <f t="shared" si="23"/>
        <v>-1200000</v>
      </c>
    </row>
    <row r="42" spans="9:20" x14ac:dyDescent="0.25">
      <c r="I42" s="9" t="s">
        <v>15</v>
      </c>
      <c r="J42" s="12">
        <v>-28800</v>
      </c>
      <c r="K42" s="12">
        <v>-28800</v>
      </c>
      <c r="L42" s="12">
        <v>-28800</v>
      </c>
      <c r="M42" s="12">
        <v>-28800</v>
      </c>
      <c r="N42" s="12">
        <v>-28800</v>
      </c>
      <c r="O42" s="12">
        <v>-28800</v>
      </c>
      <c r="P42" s="12">
        <v>-28800</v>
      </c>
      <c r="Q42" s="12">
        <v>-28800</v>
      </c>
      <c r="R42" s="12">
        <v>-28800</v>
      </c>
      <c r="S42" s="13">
        <v>-28800</v>
      </c>
      <c r="T42" s="71">
        <f t="shared" si="23"/>
        <v>-288000</v>
      </c>
    </row>
    <row r="43" spans="9:20" x14ac:dyDescent="0.25">
      <c r="I43" s="9" t="s">
        <v>16</v>
      </c>
      <c r="J43" s="12">
        <v>-17500</v>
      </c>
      <c r="K43" s="12">
        <v>-17500</v>
      </c>
      <c r="L43" s="12">
        <v>-17500</v>
      </c>
      <c r="M43" s="12">
        <v>-17500</v>
      </c>
      <c r="N43" s="12">
        <v>-17500</v>
      </c>
      <c r="O43" s="12">
        <v>-17500</v>
      </c>
      <c r="P43" s="12">
        <v>-17500</v>
      </c>
      <c r="Q43" s="12">
        <v>-17500</v>
      </c>
      <c r="R43" s="12">
        <v>-17500</v>
      </c>
      <c r="S43" s="13">
        <v>-17500</v>
      </c>
      <c r="T43" s="71">
        <f t="shared" si="23"/>
        <v>-175000</v>
      </c>
    </row>
    <row r="44" spans="9:20" x14ac:dyDescent="0.25">
      <c r="I44" s="9" t="s">
        <v>17</v>
      </c>
      <c r="J44" s="12">
        <v>-19200</v>
      </c>
      <c r="K44" s="12">
        <v>-19200</v>
      </c>
      <c r="L44" s="12">
        <v>-19200</v>
      </c>
      <c r="M44" s="12">
        <v>-19200</v>
      </c>
      <c r="N44" s="12">
        <v>-19200</v>
      </c>
      <c r="O44" s="12">
        <v>-19200</v>
      </c>
      <c r="P44" s="12">
        <v>-19200</v>
      </c>
      <c r="Q44" s="12">
        <v>-19200</v>
      </c>
      <c r="R44" s="12">
        <v>-19200</v>
      </c>
      <c r="S44" s="13">
        <v>-19200</v>
      </c>
      <c r="T44" s="71">
        <f t="shared" si="23"/>
        <v>-192000</v>
      </c>
    </row>
    <row r="45" spans="9:20" x14ac:dyDescent="0.25">
      <c r="I45" s="7" t="s">
        <v>31</v>
      </c>
      <c r="J45" s="2">
        <f>J32+J37</f>
        <v>337160.55757206748</v>
      </c>
      <c r="K45" s="2">
        <f>K32+K37</f>
        <v>298243.33333333337</v>
      </c>
      <c r="L45" s="2">
        <f t="shared" ref="L45:M45" si="27">L32+L37</f>
        <v>216476.66666666669</v>
      </c>
      <c r="M45" s="2">
        <f t="shared" si="27"/>
        <v>269710</v>
      </c>
      <c r="N45" s="2">
        <f t="shared" ref="N45:S45" si="28">N32+N37</f>
        <v>441475</v>
      </c>
      <c r="O45" s="2">
        <f t="shared" si="28"/>
        <v>485730</v>
      </c>
      <c r="P45" s="2">
        <f t="shared" si="28"/>
        <v>484230</v>
      </c>
      <c r="Q45" s="2">
        <f t="shared" si="28"/>
        <v>485530</v>
      </c>
      <c r="R45" s="2">
        <f t="shared" si="28"/>
        <v>486030</v>
      </c>
      <c r="S45" s="8">
        <f t="shared" si="28"/>
        <v>492030</v>
      </c>
      <c r="T45" s="69">
        <f t="shared" si="23"/>
        <v>3996615.5575720677</v>
      </c>
    </row>
    <row r="46" spans="9:20" x14ac:dyDescent="0.25">
      <c r="I46" s="7" t="s">
        <v>10</v>
      </c>
      <c r="J46" s="2">
        <f t="shared" ref="J46:S46" si="29">SUM(J47:J55)</f>
        <v>-279938</v>
      </c>
      <c r="K46" s="2">
        <f t="shared" si="29"/>
        <v>-215301</v>
      </c>
      <c r="L46" s="2">
        <f t="shared" si="29"/>
        <v>-215301</v>
      </c>
      <c r="M46" s="2">
        <f t="shared" si="29"/>
        <v>-338301</v>
      </c>
      <c r="N46" s="2">
        <f t="shared" si="29"/>
        <v>-440301</v>
      </c>
      <c r="O46" s="2">
        <f t="shared" si="29"/>
        <v>-315301</v>
      </c>
      <c r="P46" s="2">
        <f t="shared" si="29"/>
        <v>-336801</v>
      </c>
      <c r="Q46" s="2">
        <f t="shared" si="29"/>
        <v>-361801</v>
      </c>
      <c r="R46" s="2">
        <f t="shared" si="29"/>
        <v>-361801</v>
      </c>
      <c r="S46" s="8">
        <f t="shared" si="29"/>
        <v>-361801</v>
      </c>
      <c r="T46" s="69">
        <f t="shared" si="23"/>
        <v>-3226647</v>
      </c>
    </row>
    <row r="47" spans="9:20" x14ac:dyDescent="0.25">
      <c r="I47" s="9" t="s">
        <v>11</v>
      </c>
      <c r="J47" s="12">
        <v>-21009</v>
      </c>
      <c r="K47" s="12">
        <v>-18360</v>
      </c>
      <c r="L47" s="12">
        <v>-18360</v>
      </c>
      <c r="M47" s="12">
        <v>-18360</v>
      </c>
      <c r="N47" s="12">
        <v>-18360</v>
      </c>
      <c r="O47" s="12">
        <v>-18360</v>
      </c>
      <c r="P47" s="12">
        <v>-18360</v>
      </c>
      <c r="Q47" s="12">
        <v>-18360</v>
      </c>
      <c r="R47" s="12">
        <v>-18360</v>
      </c>
      <c r="S47" s="13">
        <v>-18360</v>
      </c>
      <c r="T47" s="71">
        <f t="shared" si="23"/>
        <v>-186249</v>
      </c>
    </row>
    <row r="48" spans="9:20" x14ac:dyDescent="0.25">
      <c r="I48" s="9" t="s">
        <v>12</v>
      </c>
      <c r="J48" s="12">
        <v>-8922</v>
      </c>
      <c r="K48" s="12">
        <v>-6000</v>
      </c>
      <c r="L48" s="12">
        <v>-6000</v>
      </c>
      <c r="M48" s="12">
        <v>-6000</v>
      </c>
      <c r="N48" s="12">
        <v>-6000</v>
      </c>
      <c r="O48" s="12">
        <v>-6000</v>
      </c>
      <c r="P48" s="12">
        <v>-6000</v>
      </c>
      <c r="Q48" s="12">
        <v>-6000</v>
      </c>
      <c r="R48" s="12">
        <v>-6000</v>
      </c>
      <c r="S48" s="13">
        <v>-6000</v>
      </c>
      <c r="T48" s="71">
        <f t="shared" si="23"/>
        <v>-62922</v>
      </c>
    </row>
    <row r="49" spans="9:20" x14ac:dyDescent="0.25">
      <c r="I49" s="9" t="s">
        <v>13</v>
      </c>
      <c r="J49" s="12">
        <v>-25341</v>
      </c>
      <c r="K49" s="12">
        <v>-25341</v>
      </c>
      <c r="L49" s="12">
        <v>-25341</v>
      </c>
      <c r="M49" s="12">
        <v>-25341</v>
      </c>
      <c r="N49" s="12">
        <v>-25341</v>
      </c>
      <c r="O49" s="12">
        <v>-25341</v>
      </c>
      <c r="P49" s="12">
        <v>-25341</v>
      </c>
      <c r="Q49" s="12">
        <v>-25341</v>
      </c>
      <c r="R49" s="12">
        <v>-25341</v>
      </c>
      <c r="S49" s="13">
        <v>-25341</v>
      </c>
      <c r="T49" s="71">
        <f t="shared" si="23"/>
        <v>-253410</v>
      </c>
    </row>
    <row r="50" spans="9:20" x14ac:dyDescent="0.25">
      <c r="I50" s="9" t="s">
        <v>14</v>
      </c>
      <c r="J50" s="12">
        <v>-25563</v>
      </c>
      <c r="K50" s="12">
        <f>-1500*12</f>
        <v>-18000</v>
      </c>
      <c r="L50" s="12">
        <f t="shared" ref="L50:M50" si="30">-1500*12</f>
        <v>-18000</v>
      </c>
      <c r="M50" s="12">
        <f t="shared" si="30"/>
        <v>-18000</v>
      </c>
      <c r="N50" s="12">
        <f>-1500*12</f>
        <v>-18000</v>
      </c>
      <c r="O50" s="12">
        <v>-18000</v>
      </c>
      <c r="P50" s="12">
        <v>-18000</v>
      </c>
      <c r="Q50" s="12">
        <v>-18000</v>
      </c>
      <c r="R50" s="12">
        <v>-18000</v>
      </c>
      <c r="S50" s="13">
        <v>-18000</v>
      </c>
      <c r="T50" s="71">
        <f t="shared" si="23"/>
        <v>-187563</v>
      </c>
    </row>
    <row r="51" spans="9:20" x14ac:dyDescent="0.25">
      <c r="I51" s="9" t="s">
        <v>18</v>
      </c>
      <c r="J51" s="12">
        <v>-16139</v>
      </c>
      <c r="K51" s="12">
        <f>-12000</f>
        <v>-12000</v>
      </c>
      <c r="L51" s="12">
        <f t="shared" ref="L51:M51" si="31">-12000</f>
        <v>-12000</v>
      </c>
      <c r="M51" s="12">
        <f t="shared" si="31"/>
        <v>-12000</v>
      </c>
      <c r="N51" s="12">
        <f>-12000</f>
        <v>-12000</v>
      </c>
      <c r="O51" s="12">
        <v>-12000</v>
      </c>
      <c r="P51" s="12">
        <v>-12000</v>
      </c>
      <c r="Q51" s="12">
        <v>-12000</v>
      </c>
      <c r="R51" s="12">
        <v>-12000</v>
      </c>
      <c r="S51" s="13">
        <v>-12000</v>
      </c>
      <c r="T51" s="71">
        <f t="shared" si="23"/>
        <v>-124139</v>
      </c>
    </row>
    <row r="52" spans="9:20" x14ac:dyDescent="0.25">
      <c r="I52" s="9" t="s">
        <v>19</v>
      </c>
      <c r="J52" s="12">
        <v>-52000</v>
      </c>
      <c r="K52" s="12">
        <v>-30000</v>
      </c>
      <c r="L52" s="12">
        <v>-30000</v>
      </c>
      <c r="M52" s="12">
        <v>-30000</v>
      </c>
      <c r="N52" s="12">
        <v>-30000</v>
      </c>
      <c r="O52" s="12">
        <v>-30000</v>
      </c>
      <c r="P52" s="12">
        <v>-30000</v>
      </c>
      <c r="Q52" s="12">
        <v>-30000</v>
      </c>
      <c r="R52" s="12">
        <v>-30000</v>
      </c>
      <c r="S52" s="13">
        <v>-30000</v>
      </c>
      <c r="T52" s="71">
        <f t="shared" si="23"/>
        <v>-322000</v>
      </c>
    </row>
    <row r="53" spans="9:20" x14ac:dyDescent="0.25">
      <c r="I53" s="9" t="s">
        <v>20</v>
      </c>
      <c r="J53" s="12">
        <v>-34392</v>
      </c>
      <c r="K53" s="12">
        <v>-33600</v>
      </c>
      <c r="L53" s="12">
        <v>-33600</v>
      </c>
      <c r="M53" s="12">
        <v>-33600</v>
      </c>
      <c r="N53" s="12">
        <v>-33600</v>
      </c>
      <c r="O53" s="12">
        <v>-33600</v>
      </c>
      <c r="P53" s="12">
        <v>-33600</v>
      </c>
      <c r="Q53" s="12">
        <v>-33600</v>
      </c>
      <c r="R53" s="12">
        <v>-33600</v>
      </c>
      <c r="S53" s="13">
        <v>-33600</v>
      </c>
      <c r="T53" s="71">
        <f t="shared" si="23"/>
        <v>-336792</v>
      </c>
    </row>
    <row r="54" spans="9:20" x14ac:dyDescent="0.25">
      <c r="I54" s="9" t="s">
        <v>29</v>
      </c>
      <c r="J54" s="12">
        <v>-32965</v>
      </c>
      <c r="K54" s="12">
        <v>-24000</v>
      </c>
      <c r="L54" s="12">
        <v>-24000</v>
      </c>
      <c r="M54" s="12">
        <v>-24000</v>
      </c>
      <c r="N54" s="12">
        <v>-24000</v>
      </c>
      <c r="O54" s="12">
        <v>-24000</v>
      </c>
      <c r="P54" s="12">
        <v>-24000</v>
      </c>
      <c r="Q54" s="12">
        <v>-24000</v>
      </c>
      <c r="R54" s="12">
        <v>-24000</v>
      </c>
      <c r="S54" s="13">
        <v>-24000</v>
      </c>
      <c r="T54" s="71">
        <f t="shared" si="23"/>
        <v>-248965</v>
      </c>
    </row>
    <row r="55" spans="9:20" x14ac:dyDescent="0.25">
      <c r="I55" s="9" t="s">
        <v>21</v>
      </c>
      <c r="J55" s="12">
        <v>-63607</v>
      </c>
      <c r="K55" s="12">
        <v>-48000</v>
      </c>
      <c r="L55" s="12">
        <v>-48000</v>
      </c>
      <c r="M55" s="12">
        <f>-48000-123000</f>
        <v>-171000</v>
      </c>
      <c r="N55" s="12">
        <f>-48000-187000-38000</f>
        <v>-273000</v>
      </c>
      <c r="O55" s="12">
        <f>-148000</f>
        <v>-148000</v>
      </c>
      <c r="P55" s="12">
        <v>-169500</v>
      </c>
      <c r="Q55" s="12">
        <f>-48000-146500</f>
        <v>-194500</v>
      </c>
      <c r="R55" s="12">
        <f>-48000-146500</f>
        <v>-194500</v>
      </c>
      <c r="S55" s="13">
        <f>-48000-146500</f>
        <v>-194500</v>
      </c>
      <c r="T55" s="71">
        <f t="shared" si="23"/>
        <v>-1504607</v>
      </c>
    </row>
    <row r="56" spans="9:20" x14ac:dyDescent="0.25">
      <c r="I56" s="7" t="s">
        <v>22</v>
      </c>
      <c r="J56" s="14">
        <f>J45+J46</f>
        <v>57222.557572067482</v>
      </c>
      <c r="K56" s="14">
        <f>K45+K46</f>
        <v>82942.333333333372</v>
      </c>
      <c r="L56" s="14">
        <f t="shared" ref="L56:M56" si="32">L45+L46</f>
        <v>1175.6666666666861</v>
      </c>
      <c r="M56" s="14">
        <f t="shared" si="32"/>
        <v>-68591</v>
      </c>
      <c r="N56" s="14">
        <f t="shared" ref="N56:S56" si="33">N45+N46</f>
        <v>1174</v>
      </c>
      <c r="O56" s="14">
        <f t="shared" si="33"/>
        <v>170429</v>
      </c>
      <c r="P56" s="14">
        <f t="shared" si="33"/>
        <v>147429</v>
      </c>
      <c r="Q56" s="14">
        <f t="shared" si="33"/>
        <v>123729</v>
      </c>
      <c r="R56" s="14">
        <f t="shared" si="33"/>
        <v>124229</v>
      </c>
      <c r="S56" s="17">
        <f t="shared" si="33"/>
        <v>130229</v>
      </c>
      <c r="T56" s="72">
        <f t="shared" si="23"/>
        <v>769968.55757206748</v>
      </c>
    </row>
    <row r="57" spans="9:20" x14ac:dyDescent="0.25">
      <c r="I57" s="25" t="s">
        <v>25</v>
      </c>
      <c r="J57" s="26">
        <v>-21576</v>
      </c>
      <c r="K57" s="26">
        <f>-21577</f>
        <v>-21577</v>
      </c>
      <c r="L57" s="26">
        <v>-21577</v>
      </c>
      <c r="M57" s="26">
        <v>-21577</v>
      </c>
      <c r="N57" s="12">
        <v>-21577</v>
      </c>
      <c r="O57" s="26">
        <f>-21577+55743</f>
        <v>34166</v>
      </c>
      <c r="P57" s="26">
        <f>-21577-250000-20000</f>
        <v>-291577</v>
      </c>
      <c r="Q57" s="26">
        <f>-21577</f>
        <v>-21577</v>
      </c>
      <c r="R57" s="12">
        <f>-21577</f>
        <v>-21577</v>
      </c>
      <c r="S57" s="13">
        <f>250096+265214+20606</f>
        <v>535916</v>
      </c>
      <c r="T57" s="71">
        <f t="shared" si="23"/>
        <v>127467</v>
      </c>
    </row>
    <row r="58" spans="9:20" x14ac:dyDescent="0.25">
      <c r="I58" s="45" t="s">
        <v>95</v>
      </c>
      <c r="J58" s="12">
        <v>-3000</v>
      </c>
      <c r="K58" s="12">
        <v>-4200</v>
      </c>
      <c r="L58" s="12">
        <v>-3700</v>
      </c>
      <c r="M58" s="12">
        <v>-3700</v>
      </c>
      <c r="N58" s="12">
        <v>-3000</v>
      </c>
      <c r="O58" s="12">
        <v>-3000</v>
      </c>
      <c r="P58" s="12">
        <v>-3700</v>
      </c>
      <c r="Q58" s="12">
        <v>-3700</v>
      </c>
      <c r="R58" s="12">
        <v>-3700</v>
      </c>
      <c r="S58" s="13">
        <v>-3700</v>
      </c>
      <c r="T58" s="71">
        <f t="shared" si="23"/>
        <v>-35400</v>
      </c>
    </row>
    <row r="59" spans="9:20" ht="15.75" thickBot="1" x14ac:dyDescent="0.3">
      <c r="I59" s="11" t="s">
        <v>23</v>
      </c>
      <c r="J59" s="16">
        <f>J56+J57+J58</f>
        <v>32646.557572067482</v>
      </c>
      <c r="K59" s="16">
        <f>K56+K57+K58</f>
        <v>57165.333333333372</v>
      </c>
      <c r="L59" s="16">
        <f t="shared" ref="L59:N59" si="34">L56+L57+L58</f>
        <v>-24101.333333333314</v>
      </c>
      <c r="M59" s="16">
        <f t="shared" si="34"/>
        <v>-93868</v>
      </c>
      <c r="N59" s="16">
        <f t="shared" si="34"/>
        <v>-23403</v>
      </c>
      <c r="O59" s="16">
        <f>O56+O57</f>
        <v>204595</v>
      </c>
      <c r="P59" s="16">
        <f>P56+P57+P58</f>
        <v>-147848</v>
      </c>
      <c r="Q59" s="16">
        <f t="shared" ref="Q59:S59" si="35">Q56+Q57+Q58</f>
        <v>98452</v>
      </c>
      <c r="R59" s="16">
        <f t="shared" si="35"/>
        <v>98952</v>
      </c>
      <c r="S59" s="18">
        <f t="shared" si="35"/>
        <v>662445</v>
      </c>
      <c r="T59" s="73">
        <f t="shared" si="23"/>
        <v>865035.55757206748</v>
      </c>
    </row>
    <row r="60" spans="9:20" x14ac:dyDescent="0.25">
      <c r="I60" s="20"/>
    </row>
    <row r="61" spans="9:20" x14ac:dyDescent="0.25"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EC2D-D6AE-4FC1-A963-E7B21F50339A}">
  <dimension ref="A1:K31"/>
  <sheetViews>
    <sheetView workbookViewId="0">
      <selection activeCell="G9" sqref="G9"/>
    </sheetView>
  </sheetViews>
  <sheetFormatPr defaultColWidth="20.7109375" defaultRowHeight="15" x14ac:dyDescent="0.25"/>
  <cols>
    <col min="1" max="1" width="21.85546875" style="1" bestFit="1" customWidth="1"/>
    <col min="2" max="3" width="13" style="1" bestFit="1" customWidth="1"/>
    <col min="4" max="4" width="20.7109375" style="1"/>
    <col min="5" max="6" width="13" style="1" bestFit="1" customWidth="1"/>
    <col min="7" max="7" width="20.7109375" style="1"/>
    <col min="8" max="8" width="39.42578125" style="1" bestFit="1" customWidth="1"/>
    <col min="9" max="9" width="26.140625" style="1" bestFit="1" customWidth="1"/>
    <col min="10" max="16384" width="20.7109375" style="1"/>
  </cols>
  <sheetData>
    <row r="1" spans="1:11" x14ac:dyDescent="0.25">
      <c r="A1" s="150" t="s">
        <v>39</v>
      </c>
      <c r="B1" s="150"/>
      <c r="C1" s="150"/>
      <c r="D1" s="150" t="s">
        <v>40</v>
      </c>
      <c r="E1" s="150"/>
      <c r="F1" s="150"/>
    </row>
    <row r="2" spans="1:11" x14ac:dyDescent="0.25">
      <c r="A2" s="124" t="s">
        <v>41</v>
      </c>
      <c r="B2" s="117" t="s">
        <v>144</v>
      </c>
      <c r="C2" s="117" t="s">
        <v>145</v>
      </c>
      <c r="D2" s="124" t="s">
        <v>41</v>
      </c>
      <c r="E2" s="117" t="s">
        <v>144</v>
      </c>
      <c r="F2" s="117" t="s">
        <v>145</v>
      </c>
    </row>
    <row r="3" spans="1:11" x14ac:dyDescent="0.25">
      <c r="A3" s="119" t="s">
        <v>49</v>
      </c>
      <c r="B3" s="118">
        <v>90000</v>
      </c>
      <c r="C3" s="118">
        <v>70000</v>
      </c>
      <c r="D3" s="153" t="s">
        <v>100</v>
      </c>
      <c r="E3" s="154">
        <f>B7-SUM(E5:E6)</f>
        <v>280000</v>
      </c>
      <c r="F3" s="154">
        <f>C7-SUM(F5:F6)</f>
        <v>198000</v>
      </c>
    </row>
    <row r="4" spans="1:11" x14ac:dyDescent="0.25">
      <c r="A4" s="119" t="s">
        <v>121</v>
      </c>
      <c r="B4" s="118">
        <v>220000</v>
      </c>
      <c r="C4" s="118">
        <v>280000</v>
      </c>
      <c r="D4" s="153"/>
      <c r="E4" s="154"/>
      <c r="F4" s="154"/>
    </row>
    <row r="5" spans="1:11" x14ac:dyDescent="0.25">
      <c r="A5" s="119" t="s">
        <v>94</v>
      </c>
      <c r="B5" s="118">
        <v>40000</v>
      </c>
      <c r="C5" s="118">
        <v>38800</v>
      </c>
      <c r="D5" s="119" t="s">
        <v>47</v>
      </c>
      <c r="E5" s="118">
        <v>120000</v>
      </c>
      <c r="F5" s="118">
        <v>120000</v>
      </c>
    </row>
    <row r="6" spans="1:11" x14ac:dyDescent="0.25">
      <c r="A6" s="119" t="s">
        <v>43</v>
      </c>
      <c r="B6" s="118">
        <v>50000</v>
      </c>
      <c r="C6" s="118">
        <v>49200</v>
      </c>
      <c r="D6" s="119" t="s">
        <v>48</v>
      </c>
      <c r="E6" s="118">
        <v>0</v>
      </c>
      <c r="F6" s="118">
        <v>120000</v>
      </c>
    </row>
    <row r="7" spans="1:11" x14ac:dyDescent="0.25">
      <c r="A7" s="125" t="s">
        <v>30</v>
      </c>
      <c r="B7" s="132">
        <f>SUM(B3:B6)</f>
        <v>400000</v>
      </c>
      <c r="C7" s="132">
        <f>SUM(C3:C6)</f>
        <v>438000</v>
      </c>
      <c r="D7" s="125" t="s">
        <v>30</v>
      </c>
      <c r="E7" s="132">
        <f>SUM(E3:E6)</f>
        <v>400000</v>
      </c>
      <c r="F7" s="132">
        <f>SUM(F3:F6)</f>
        <v>438000</v>
      </c>
    </row>
    <row r="9" spans="1:11" x14ac:dyDescent="0.25">
      <c r="H9" s="77" t="s">
        <v>131</v>
      </c>
      <c r="I9" s="156">
        <f>B3/E5</f>
        <v>0.75</v>
      </c>
      <c r="J9" s="156">
        <f>C3/F5</f>
        <v>0.58333333333333337</v>
      </c>
    </row>
    <row r="10" spans="1:11" x14ac:dyDescent="0.25">
      <c r="A10" s="77"/>
      <c r="B10" s="77">
        <v>2020</v>
      </c>
      <c r="C10" s="77">
        <v>2019</v>
      </c>
      <c r="H10" s="77" t="s">
        <v>132</v>
      </c>
      <c r="I10" s="156">
        <f>B3/B17</f>
        <v>3.6</v>
      </c>
      <c r="J10" s="156">
        <f>C3/C17</f>
        <v>3</v>
      </c>
    </row>
    <row r="11" spans="1:11" x14ac:dyDescent="0.25">
      <c r="A11" s="77" t="s">
        <v>0</v>
      </c>
      <c r="B11" s="78">
        <v>320000</v>
      </c>
      <c r="C11" s="78">
        <v>300000</v>
      </c>
      <c r="D11" s="62"/>
      <c r="H11" s="77" t="s">
        <v>133</v>
      </c>
      <c r="I11" s="156">
        <f>10000/B18</f>
        <v>0.375</v>
      </c>
      <c r="J11" s="156">
        <f>10000/C18</f>
        <v>0.4</v>
      </c>
    </row>
    <row r="12" spans="1:11" x14ac:dyDescent="0.25">
      <c r="A12" s="77" t="s">
        <v>122</v>
      </c>
      <c r="B12" s="78">
        <v>-180000</v>
      </c>
      <c r="C12" s="78">
        <v>-160000</v>
      </c>
      <c r="F12" s="58"/>
      <c r="H12" s="77" t="s">
        <v>134</v>
      </c>
      <c r="I12" s="156">
        <f>B19/B7</f>
        <v>0.3</v>
      </c>
      <c r="J12" s="156">
        <f>C19/C7</f>
        <v>0.54794520547945202</v>
      </c>
      <c r="K12" s="58"/>
    </row>
    <row r="13" spans="1:11" x14ac:dyDescent="0.25">
      <c r="A13" s="80" t="s">
        <v>22</v>
      </c>
      <c r="B13" s="81">
        <f>B11+B12</f>
        <v>140000</v>
      </c>
      <c r="C13" s="81">
        <f>C11+C12</f>
        <v>140000</v>
      </c>
      <c r="H13" s="77" t="s">
        <v>139</v>
      </c>
      <c r="I13" s="156">
        <f>B13/B11</f>
        <v>0.4375</v>
      </c>
      <c r="J13" s="156">
        <f>C13/C11</f>
        <v>0.46666666666666667</v>
      </c>
    </row>
    <row r="14" spans="1:11" x14ac:dyDescent="0.25">
      <c r="A14" s="77" t="s">
        <v>95</v>
      </c>
      <c r="B14" s="78">
        <v>-120000</v>
      </c>
      <c r="C14" s="78">
        <v>-120000</v>
      </c>
      <c r="H14" s="77" t="s">
        <v>140</v>
      </c>
      <c r="I14" s="156">
        <f>B15/B11</f>
        <v>6.25E-2</v>
      </c>
      <c r="J14" s="156">
        <f>C15/C11</f>
        <v>6.6666666666666666E-2</v>
      </c>
    </row>
    <row r="15" spans="1:11" x14ac:dyDescent="0.25">
      <c r="A15" s="80" t="s">
        <v>23</v>
      </c>
      <c r="B15" s="81">
        <f>B13+B14</f>
        <v>20000</v>
      </c>
      <c r="C15" s="81">
        <f>C13+C14</f>
        <v>20000</v>
      </c>
      <c r="H15" s="79" t="s">
        <v>135</v>
      </c>
      <c r="I15" s="156">
        <f>B3-10000</f>
        <v>80000</v>
      </c>
      <c r="J15" s="156">
        <f>C3-10000</f>
        <v>60000</v>
      </c>
    </row>
    <row r="16" spans="1:11" x14ac:dyDescent="0.25">
      <c r="H16" s="58"/>
      <c r="I16" s="58"/>
    </row>
    <row r="17" spans="1:6" x14ac:dyDescent="0.25">
      <c r="A17" s="77" t="s">
        <v>136</v>
      </c>
      <c r="B17" s="155">
        <f>-(B12+B14)/12</f>
        <v>25000</v>
      </c>
      <c r="C17" s="155">
        <f>-(C12+C14)/12</f>
        <v>23333.333333333332</v>
      </c>
    </row>
    <row r="18" spans="1:6" x14ac:dyDescent="0.25">
      <c r="A18" s="77" t="s">
        <v>137</v>
      </c>
      <c r="B18" s="79">
        <f>B11/12</f>
        <v>26666.666666666668</v>
      </c>
      <c r="C18" s="79">
        <f>C11/12</f>
        <v>25000</v>
      </c>
      <c r="E18" s="66"/>
    </row>
    <row r="19" spans="1:6" x14ac:dyDescent="0.25">
      <c r="A19" s="77" t="s">
        <v>138</v>
      </c>
      <c r="B19" s="79">
        <f>E5+E6</f>
        <v>120000</v>
      </c>
      <c r="C19" s="79">
        <f>F5+F6</f>
        <v>240000</v>
      </c>
    </row>
    <row r="23" spans="1:6" x14ac:dyDescent="0.25">
      <c r="D23" s="58"/>
      <c r="E23" s="58"/>
      <c r="F23" s="58"/>
    </row>
    <row r="30" spans="1:6" x14ac:dyDescent="0.25">
      <c r="D30" s="58"/>
    </row>
    <row r="31" spans="1:6" x14ac:dyDescent="0.25">
      <c r="D31" s="58"/>
    </row>
  </sheetData>
  <mergeCells count="5">
    <mergeCell ref="A1:C1"/>
    <mergeCell ref="D1:F1"/>
    <mergeCell ref="D3:D4"/>
    <mergeCell ref="E3:E4"/>
    <mergeCell ref="F3:F4"/>
  </mergeCells>
  <conditionalFormatting sqref="B7:C7">
    <cfRule type="cellIs" dxfId="1" priority="4" operator="equal">
      <formula>#REF!</formula>
    </cfRule>
  </conditionalFormatting>
  <conditionalFormatting sqref="E7:F7">
    <cfRule type="cellIs" dxfId="0" priority="2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F0ED-6977-4EED-A91F-3E89D2601882}">
  <dimension ref="A1:Y63"/>
  <sheetViews>
    <sheetView zoomScale="70" zoomScaleNormal="70" workbookViewId="0">
      <selection activeCell="E14" sqref="E14:G14"/>
    </sheetView>
  </sheetViews>
  <sheetFormatPr defaultRowHeight="15" x14ac:dyDescent="0.25"/>
  <cols>
    <col min="1" max="1" width="35.42578125" style="88" bestFit="1" customWidth="1"/>
    <col min="2" max="5" width="20.7109375" style="88" customWidth="1"/>
    <col min="6" max="7" width="10.42578125" style="88" bestFit="1" customWidth="1"/>
    <col min="8" max="8" width="9.28515625" style="88" bestFit="1" customWidth="1"/>
    <col min="9" max="9" width="16.7109375" style="88" bestFit="1" customWidth="1"/>
    <col min="10" max="10" width="9" style="88" bestFit="1" customWidth="1"/>
    <col min="11" max="11" width="20.7109375" style="88" bestFit="1" customWidth="1"/>
    <col min="12" max="12" width="9" style="88" bestFit="1" customWidth="1"/>
    <col min="13" max="13" width="10.42578125" style="88" bestFit="1" customWidth="1"/>
    <col min="14" max="14" width="15.5703125" style="88" bestFit="1" customWidth="1"/>
    <col min="15" max="15" width="9.140625" style="88"/>
    <col min="16" max="16" width="37" style="88" bestFit="1" customWidth="1"/>
    <col min="17" max="17" width="9.85546875" style="88" bestFit="1" customWidth="1"/>
    <col min="18" max="18" width="37" style="88" bestFit="1" customWidth="1"/>
    <col min="19" max="23" width="11.28515625" style="88" bestFit="1" customWidth="1"/>
    <col min="24" max="24" width="9.85546875" style="88" bestFit="1" customWidth="1"/>
    <col min="25" max="16384" width="9.140625" style="88"/>
  </cols>
  <sheetData>
    <row r="1" spans="1:21" ht="15.75" thickBot="1" x14ac:dyDescent="0.3">
      <c r="B1" s="88" t="s">
        <v>64</v>
      </c>
      <c r="C1" s="88" t="s">
        <v>65</v>
      </c>
      <c r="D1" s="88" t="s">
        <v>66</v>
      </c>
      <c r="E1" s="88" t="s">
        <v>67</v>
      </c>
      <c r="F1" s="88" t="s">
        <v>68</v>
      </c>
      <c r="G1" s="88" t="s">
        <v>84</v>
      </c>
      <c r="H1" s="88" t="s">
        <v>69</v>
      </c>
      <c r="I1" s="88" t="s">
        <v>70</v>
      </c>
      <c r="J1" s="88" t="s">
        <v>71</v>
      </c>
      <c r="K1" s="88" t="s">
        <v>72</v>
      </c>
      <c r="L1" s="88" t="s">
        <v>73</v>
      </c>
      <c r="M1" s="88" t="s">
        <v>74</v>
      </c>
      <c r="N1" s="88" t="s">
        <v>30</v>
      </c>
      <c r="P1" s="43"/>
      <c r="Q1" s="43"/>
      <c r="R1" s="77"/>
      <c r="S1" s="77">
        <v>2019</v>
      </c>
      <c r="T1" s="77">
        <v>2018</v>
      </c>
      <c r="U1" s="77" t="s">
        <v>63</v>
      </c>
    </row>
    <row r="2" spans="1:21" x14ac:dyDescent="0.25">
      <c r="A2" s="98" t="s">
        <v>75</v>
      </c>
      <c r="B2" s="99">
        <f>B3+B4</f>
        <v>33000</v>
      </c>
      <c r="C2" s="99">
        <f t="shared" ref="C2:M2" si="0">C3+C4</f>
        <v>33000</v>
      </c>
      <c r="D2" s="99">
        <f t="shared" si="0"/>
        <v>33000</v>
      </c>
      <c r="E2" s="99">
        <f t="shared" si="0"/>
        <v>33000</v>
      </c>
      <c r="F2" s="99">
        <f t="shared" si="0"/>
        <v>33000</v>
      </c>
      <c r="G2" s="99">
        <f t="shared" si="0"/>
        <v>33000</v>
      </c>
      <c r="H2" s="99">
        <f t="shared" si="0"/>
        <v>33000</v>
      </c>
      <c r="I2" s="99">
        <f t="shared" si="0"/>
        <v>33000</v>
      </c>
      <c r="J2" s="99">
        <f t="shared" si="0"/>
        <v>33000</v>
      </c>
      <c r="K2" s="99">
        <f t="shared" si="0"/>
        <v>33000</v>
      </c>
      <c r="L2" s="99">
        <f t="shared" si="0"/>
        <v>33000</v>
      </c>
      <c r="M2" s="99">
        <f t="shared" si="0"/>
        <v>34620</v>
      </c>
      <c r="N2" s="100">
        <f t="shared" ref="N2:N11" si="1">SUM(B2:M2)</f>
        <v>397620</v>
      </c>
      <c r="P2" s="43"/>
      <c r="Q2" s="43"/>
      <c r="R2" s="80" t="s">
        <v>0</v>
      </c>
      <c r="S2" s="81">
        <f>SUM(S3:S6)</f>
        <v>582293.89090540074</v>
      </c>
      <c r="T2" s="81">
        <v>759976.09274999995</v>
      </c>
      <c r="U2" s="81">
        <f t="shared" ref="U2:U29" si="2">S2-T2</f>
        <v>-177682.20184459921</v>
      </c>
    </row>
    <row r="3" spans="1:21" x14ac:dyDescent="0.25">
      <c r="A3" s="101" t="s">
        <v>1</v>
      </c>
      <c r="B3" s="102">
        <v>33000</v>
      </c>
      <c r="C3" s="102">
        <v>33000</v>
      </c>
      <c r="D3" s="102">
        <v>33000</v>
      </c>
      <c r="E3" s="102">
        <v>33000</v>
      </c>
      <c r="F3" s="102">
        <v>33000</v>
      </c>
      <c r="G3" s="102">
        <v>33000</v>
      </c>
      <c r="H3" s="102">
        <v>33000</v>
      </c>
      <c r="I3" s="102">
        <v>33000</v>
      </c>
      <c r="J3" s="102">
        <v>33000</v>
      </c>
      <c r="K3" s="102">
        <v>33000</v>
      </c>
      <c r="L3" s="102">
        <v>33000</v>
      </c>
      <c r="M3" s="102">
        <v>33000</v>
      </c>
      <c r="N3" s="103">
        <f t="shared" si="1"/>
        <v>396000</v>
      </c>
      <c r="P3" s="43"/>
      <c r="Q3" s="43"/>
      <c r="R3" s="77" t="s">
        <v>1</v>
      </c>
      <c r="S3" s="78">
        <f>N3+N6</f>
        <v>396000</v>
      </c>
      <c r="T3" s="78">
        <v>745020</v>
      </c>
      <c r="U3" s="78">
        <f t="shared" si="2"/>
        <v>-349020</v>
      </c>
    </row>
    <row r="4" spans="1:21" x14ac:dyDescent="0.25">
      <c r="A4" s="101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>
        <v>1620</v>
      </c>
      <c r="N4" s="103">
        <f t="shared" si="1"/>
        <v>1620</v>
      </c>
      <c r="P4" s="43"/>
      <c r="Q4" s="43"/>
      <c r="R4" s="77" t="s">
        <v>2</v>
      </c>
      <c r="S4" s="78">
        <f>N4</f>
        <v>1620</v>
      </c>
      <c r="T4" s="78">
        <v>14000</v>
      </c>
      <c r="U4" s="78">
        <f t="shared" si="2"/>
        <v>-12380</v>
      </c>
    </row>
    <row r="5" spans="1:21" x14ac:dyDescent="0.25">
      <c r="A5" s="104" t="s">
        <v>76</v>
      </c>
      <c r="B5" s="105">
        <f>B6+B7</f>
        <v>26257</v>
      </c>
      <c r="C5" s="105">
        <f t="shared" ref="C5:G5" si="3">C6+C7</f>
        <v>23716</v>
      </c>
      <c r="D5" s="105">
        <f t="shared" si="3"/>
        <v>26257</v>
      </c>
      <c r="E5" s="105">
        <f t="shared" si="3"/>
        <v>25410</v>
      </c>
      <c r="F5" s="105">
        <f t="shared" si="3"/>
        <v>26257</v>
      </c>
      <c r="G5" s="105">
        <f t="shared" si="3"/>
        <v>25410</v>
      </c>
      <c r="H5" s="105">
        <f>Příspěvky!$B$10</f>
        <v>4888.8888888888887</v>
      </c>
      <c r="I5" s="105">
        <f>Příspěvky!$B$10</f>
        <v>4888.8888888888887</v>
      </c>
      <c r="J5" s="105">
        <f>Příspěvky!$B$10</f>
        <v>4888.8888888888887</v>
      </c>
      <c r="K5" s="105">
        <f>Příspěvky!$B$10</f>
        <v>4888.8888888888887</v>
      </c>
      <c r="L5" s="105">
        <f>Příspěvky!$B$10</f>
        <v>4888.8888888888887</v>
      </c>
      <c r="M5" s="105">
        <f>Příspěvky!$B$10</f>
        <v>4888.8888888888887</v>
      </c>
      <c r="N5" s="106">
        <f t="shared" si="1"/>
        <v>182640.33333333326</v>
      </c>
      <c r="P5" s="43"/>
      <c r="Q5" s="43"/>
      <c r="R5" s="77" t="s">
        <v>3</v>
      </c>
      <c r="S5" s="78">
        <f>SUM(B7:M7)</f>
        <v>182640.33333333326</v>
      </c>
      <c r="T5" s="78">
        <v>0</v>
      </c>
      <c r="U5" s="78">
        <f t="shared" si="2"/>
        <v>182640.33333333326</v>
      </c>
    </row>
    <row r="6" spans="1:21" x14ac:dyDescent="0.25">
      <c r="A6" s="101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>
        <v>0</v>
      </c>
      <c r="N6" s="103">
        <f t="shared" si="1"/>
        <v>0</v>
      </c>
      <c r="P6" s="43"/>
      <c r="Q6" s="43"/>
      <c r="R6" s="77" t="s">
        <v>4</v>
      </c>
      <c r="S6" s="78">
        <f>N9</f>
        <v>2033.5575720674997</v>
      </c>
      <c r="T6" s="78">
        <v>956.09274999999991</v>
      </c>
      <c r="U6" s="78">
        <f t="shared" si="2"/>
        <v>1077.4648220674999</v>
      </c>
    </row>
    <row r="7" spans="1:21" x14ac:dyDescent="0.25">
      <c r="A7" s="107" t="s">
        <v>3</v>
      </c>
      <c r="B7" s="102">
        <v>26257</v>
      </c>
      <c r="C7" s="102">
        <v>23716</v>
      </c>
      <c r="D7" s="102">
        <v>26257</v>
      </c>
      <c r="E7" s="102">
        <v>25410</v>
      </c>
      <c r="F7" s="102">
        <v>26257</v>
      </c>
      <c r="G7" s="102">
        <v>25410</v>
      </c>
      <c r="H7" s="102">
        <f>Příspěvky!$B$10</f>
        <v>4888.8888888888887</v>
      </c>
      <c r="I7" s="102">
        <f>Příspěvky!$B$10</f>
        <v>4888.8888888888887</v>
      </c>
      <c r="J7" s="102">
        <f>Příspěvky!$B$10</f>
        <v>4888.8888888888887</v>
      </c>
      <c r="K7" s="102">
        <f>Příspěvky!$B$10</f>
        <v>4888.8888888888887</v>
      </c>
      <c r="L7" s="102">
        <f>Příspěvky!$B$10</f>
        <v>4888.8888888888887</v>
      </c>
      <c r="M7" s="102">
        <f>Příspěvky!$B$10</f>
        <v>4888.8888888888887</v>
      </c>
      <c r="N7" s="108">
        <f t="shared" si="1"/>
        <v>182640.33333333326</v>
      </c>
      <c r="P7" s="43"/>
      <c r="Q7" s="43"/>
      <c r="R7" s="80" t="s">
        <v>5</v>
      </c>
      <c r="S7" s="81">
        <f>SUM(S8:S14)</f>
        <v>-270800</v>
      </c>
      <c r="T7" s="81">
        <v>-270800</v>
      </c>
      <c r="U7" s="81">
        <f t="shared" si="2"/>
        <v>0</v>
      </c>
    </row>
    <row r="8" spans="1:21" x14ac:dyDescent="0.25">
      <c r="A8" s="104" t="s">
        <v>78</v>
      </c>
      <c r="B8" s="105">
        <f>SUM(B9)</f>
        <v>182.07045759749997</v>
      </c>
      <c r="C8" s="105">
        <f t="shared" ref="C8:M8" si="4">SUM(C9)</f>
        <v>170.3090206025</v>
      </c>
      <c r="D8" s="105">
        <f t="shared" si="4"/>
        <v>187.74910312999998</v>
      </c>
      <c r="E8" s="105">
        <f t="shared" si="4"/>
        <v>187.46198447749998</v>
      </c>
      <c r="F8" s="105">
        <f t="shared" si="4"/>
        <v>188.4854032625</v>
      </c>
      <c r="G8" s="105">
        <f t="shared" si="4"/>
        <v>166.68615549</v>
      </c>
      <c r="H8" s="105">
        <f t="shared" si="4"/>
        <v>170.99419969499996</v>
      </c>
      <c r="I8" s="105">
        <f t="shared" si="4"/>
        <v>169.92614995999998</v>
      </c>
      <c r="J8" s="105">
        <f t="shared" si="4"/>
        <v>169.79758537749998</v>
      </c>
      <c r="K8" s="105">
        <f t="shared" si="4"/>
        <v>169.18613048249998</v>
      </c>
      <c r="L8" s="105">
        <f t="shared" si="4"/>
        <v>140.89138199250002</v>
      </c>
      <c r="M8" s="105">
        <f t="shared" si="4"/>
        <v>130</v>
      </c>
      <c r="N8" s="106">
        <f t="shared" si="1"/>
        <v>2033.5575720674997</v>
      </c>
      <c r="P8" s="43"/>
      <c r="Q8" s="43"/>
      <c r="R8" s="77" t="s">
        <v>6</v>
      </c>
      <c r="S8" s="78">
        <f>N15</f>
        <v>-72000</v>
      </c>
      <c r="T8" s="78">
        <v>-72000</v>
      </c>
      <c r="U8" s="78">
        <f t="shared" si="2"/>
        <v>0</v>
      </c>
    </row>
    <row r="9" spans="1:21" ht="15.75" thickBot="1" x14ac:dyDescent="0.3">
      <c r="A9" s="109" t="s">
        <v>4</v>
      </c>
      <c r="B9" s="90">
        <v>182.07045759749997</v>
      </c>
      <c r="C9" s="90">
        <v>170.3090206025</v>
      </c>
      <c r="D9" s="90">
        <v>187.74910312999998</v>
      </c>
      <c r="E9" s="90">
        <v>187.46198447749998</v>
      </c>
      <c r="F9" s="90">
        <v>188.4854032625</v>
      </c>
      <c r="G9" s="90">
        <v>166.68615549</v>
      </c>
      <c r="H9" s="90">
        <v>170.99419969499996</v>
      </c>
      <c r="I9" s="90">
        <v>169.92614995999998</v>
      </c>
      <c r="J9" s="90">
        <v>169.79758537749998</v>
      </c>
      <c r="K9" s="90">
        <v>169.18613048249998</v>
      </c>
      <c r="L9" s="90">
        <v>140.89138199250002</v>
      </c>
      <c r="M9" s="90">
        <v>130</v>
      </c>
      <c r="N9" s="110">
        <f>SUM(B9:M9)</f>
        <v>2033.5575720674997</v>
      </c>
      <c r="P9" s="43"/>
      <c r="Q9" s="43"/>
      <c r="R9" s="77" t="s">
        <v>7</v>
      </c>
      <c r="S9" s="78">
        <f>N17+N21</f>
        <v>-7300</v>
      </c>
      <c r="T9" s="78">
        <v>-7300</v>
      </c>
      <c r="U9" s="78">
        <f t="shared" si="2"/>
        <v>0</v>
      </c>
    </row>
    <row r="10" spans="1:21" ht="15.75" thickBot="1" x14ac:dyDescent="0.3">
      <c r="A10" s="111" t="s">
        <v>77</v>
      </c>
      <c r="B10" s="112">
        <f t="shared" ref="B10:M10" si="5">B2+B5+B8</f>
        <v>59439.070457597503</v>
      </c>
      <c r="C10" s="112">
        <f t="shared" si="5"/>
        <v>56886.309020602501</v>
      </c>
      <c r="D10" s="112">
        <f t="shared" si="5"/>
        <v>59444.749103130001</v>
      </c>
      <c r="E10" s="112">
        <f t="shared" si="5"/>
        <v>58597.461984477501</v>
      </c>
      <c r="F10" s="112">
        <f t="shared" si="5"/>
        <v>59445.485403262501</v>
      </c>
      <c r="G10" s="112">
        <f t="shared" si="5"/>
        <v>58576.686155490002</v>
      </c>
      <c r="H10" s="112">
        <f t="shared" si="5"/>
        <v>38059.883088583891</v>
      </c>
      <c r="I10" s="112">
        <f t="shared" si="5"/>
        <v>38058.815038848894</v>
      </c>
      <c r="J10" s="112">
        <f t="shared" si="5"/>
        <v>38058.686474266389</v>
      </c>
      <c r="K10" s="112">
        <f t="shared" si="5"/>
        <v>38058.07501937139</v>
      </c>
      <c r="L10" s="112">
        <f t="shared" si="5"/>
        <v>38029.780270881391</v>
      </c>
      <c r="M10" s="112">
        <f t="shared" si="5"/>
        <v>39638.888888888891</v>
      </c>
      <c r="N10" s="113">
        <f t="shared" si="1"/>
        <v>582293.89090540085</v>
      </c>
      <c r="P10" s="43"/>
      <c r="Q10" s="43"/>
      <c r="R10" s="77" t="s">
        <v>8</v>
      </c>
      <c r="S10" s="78">
        <f>N16</f>
        <v>-6000</v>
      </c>
      <c r="T10" s="78">
        <v>-6000</v>
      </c>
      <c r="U10" s="78">
        <f t="shared" si="2"/>
        <v>0</v>
      </c>
    </row>
    <row r="11" spans="1:21" x14ac:dyDescent="0.25">
      <c r="A11" s="104" t="s">
        <v>79</v>
      </c>
      <c r="B11" s="105">
        <f>SUM(B12:B17)</f>
        <v>-14759</v>
      </c>
      <c r="C11" s="105">
        <f t="shared" ref="C11:M11" si="6">SUM(C12:C17)</f>
        <v>-11050</v>
      </c>
      <c r="D11" s="105">
        <f t="shared" si="6"/>
        <v>-11140</v>
      </c>
      <c r="E11" s="105">
        <f t="shared" si="6"/>
        <v>-11188</v>
      </c>
      <c r="F11" s="105">
        <f t="shared" si="6"/>
        <v>-11089</v>
      </c>
      <c r="G11" s="105">
        <f t="shared" si="6"/>
        <v>-11005</v>
      </c>
      <c r="H11" s="105">
        <f t="shared" si="6"/>
        <v>-11104</v>
      </c>
      <c r="I11" s="105">
        <f t="shared" si="6"/>
        <v>-11030</v>
      </c>
      <c r="J11" s="105">
        <f t="shared" si="6"/>
        <v>-11220</v>
      </c>
      <c r="K11" s="105">
        <f t="shared" si="6"/>
        <v>-11130</v>
      </c>
      <c r="L11" s="105">
        <f t="shared" si="6"/>
        <v>-11132</v>
      </c>
      <c r="M11" s="105">
        <f t="shared" si="6"/>
        <v>-11075</v>
      </c>
      <c r="N11" s="106">
        <f t="shared" si="1"/>
        <v>-136922</v>
      </c>
      <c r="P11" s="43"/>
      <c r="Q11" s="43"/>
      <c r="R11" s="77" t="s">
        <v>9</v>
      </c>
      <c r="S11" s="78">
        <f>N27</f>
        <v>-120000</v>
      </c>
      <c r="T11" s="78">
        <v>-120000</v>
      </c>
      <c r="U11" s="78">
        <f t="shared" si="2"/>
        <v>0</v>
      </c>
    </row>
    <row r="12" spans="1:21" x14ac:dyDescent="0.25">
      <c r="A12" s="101" t="s">
        <v>11</v>
      </c>
      <c r="B12" s="102">
        <v>-1729</v>
      </c>
      <c r="C12" s="102">
        <v>-1713</v>
      </c>
      <c r="D12" s="102">
        <v>-1752</v>
      </c>
      <c r="E12" s="102">
        <v>-1746</v>
      </c>
      <c r="F12" s="102">
        <v>-1718</v>
      </c>
      <c r="G12" s="102">
        <v>-1776</v>
      </c>
      <c r="H12" s="102">
        <v>-1778</v>
      </c>
      <c r="I12" s="102">
        <v>-1768</v>
      </c>
      <c r="J12" s="102">
        <v>-1789</v>
      </c>
      <c r="K12" s="102">
        <v>-1776</v>
      </c>
      <c r="L12" s="102">
        <v>-1724</v>
      </c>
      <c r="M12" s="102">
        <v>-1740</v>
      </c>
      <c r="N12" s="103">
        <f t="shared" ref="N12:N31" si="7">SUM(B12:M12)</f>
        <v>-21009</v>
      </c>
      <c r="P12" s="43"/>
      <c r="Q12" s="43"/>
      <c r="R12" s="77" t="s">
        <v>15</v>
      </c>
      <c r="S12" s="79">
        <f>N28</f>
        <v>-28800</v>
      </c>
      <c r="T12" s="79">
        <v>-28800</v>
      </c>
      <c r="U12" s="79">
        <f t="shared" si="2"/>
        <v>0</v>
      </c>
    </row>
    <row r="13" spans="1:21" x14ac:dyDescent="0.25">
      <c r="A13" s="101" t="s">
        <v>12</v>
      </c>
      <c r="B13" s="102">
        <v>-788</v>
      </c>
      <c r="C13" s="102">
        <v>-779</v>
      </c>
      <c r="D13" s="102">
        <v>-705</v>
      </c>
      <c r="E13" s="102">
        <v>-778</v>
      </c>
      <c r="F13" s="102">
        <v>-744</v>
      </c>
      <c r="G13" s="102">
        <v>-721</v>
      </c>
      <c r="H13" s="102">
        <v>-721</v>
      </c>
      <c r="I13" s="102">
        <v>-701</v>
      </c>
      <c r="J13" s="102">
        <v>-758</v>
      </c>
      <c r="K13" s="102">
        <v>-780</v>
      </c>
      <c r="L13" s="102">
        <v>-738</v>
      </c>
      <c r="M13" s="102">
        <v>-709</v>
      </c>
      <c r="N13" s="103">
        <f t="shared" si="7"/>
        <v>-8922</v>
      </c>
      <c r="P13" s="43"/>
      <c r="Q13" s="43"/>
      <c r="R13" s="77" t="s">
        <v>16</v>
      </c>
      <c r="S13" s="79">
        <f>N29</f>
        <v>-17500</v>
      </c>
      <c r="T13" s="79">
        <v>-17500</v>
      </c>
      <c r="U13" s="79">
        <f t="shared" si="2"/>
        <v>0</v>
      </c>
    </row>
    <row r="14" spans="1:21" x14ac:dyDescent="0.25">
      <c r="A14" s="101" t="s">
        <v>13</v>
      </c>
      <c r="B14" s="102">
        <v>-2092</v>
      </c>
      <c r="C14" s="102">
        <v>-2058</v>
      </c>
      <c r="D14" s="102">
        <v>-2183</v>
      </c>
      <c r="E14" s="102">
        <v>-2164</v>
      </c>
      <c r="F14" s="102">
        <v>-2127</v>
      </c>
      <c r="G14" s="102">
        <v>-2008</v>
      </c>
      <c r="H14" s="102">
        <v>-2105</v>
      </c>
      <c r="I14" s="102">
        <v>-2061</v>
      </c>
      <c r="J14" s="102">
        <v>-2173</v>
      </c>
      <c r="K14" s="102">
        <v>-2074</v>
      </c>
      <c r="L14" s="102">
        <v>-2170</v>
      </c>
      <c r="M14" s="102">
        <v>-2126</v>
      </c>
      <c r="N14" s="103">
        <f t="shared" si="7"/>
        <v>-25341</v>
      </c>
      <c r="P14" s="43"/>
      <c r="Q14" s="43"/>
      <c r="R14" s="77" t="s">
        <v>17</v>
      </c>
      <c r="S14" s="79">
        <f>N30</f>
        <v>-19200</v>
      </c>
      <c r="T14" s="79">
        <v>-19200</v>
      </c>
      <c r="U14" s="79">
        <f t="shared" si="2"/>
        <v>0</v>
      </c>
    </row>
    <row r="15" spans="1:21" x14ac:dyDescent="0.25">
      <c r="A15" s="101" t="s">
        <v>6</v>
      </c>
      <c r="B15" s="102">
        <v>-6000</v>
      </c>
      <c r="C15" s="102">
        <v>-6000</v>
      </c>
      <c r="D15" s="102">
        <v>-6000</v>
      </c>
      <c r="E15" s="102">
        <v>-6000</v>
      </c>
      <c r="F15" s="102">
        <v>-6000</v>
      </c>
      <c r="G15" s="102">
        <v>-6000</v>
      </c>
      <c r="H15" s="102">
        <v>-6000</v>
      </c>
      <c r="I15" s="102">
        <v>-6000</v>
      </c>
      <c r="J15" s="102">
        <v>-6000</v>
      </c>
      <c r="K15" s="102">
        <v>-6000</v>
      </c>
      <c r="L15" s="102">
        <v>-6000</v>
      </c>
      <c r="M15" s="102">
        <v>-6000</v>
      </c>
      <c r="N15" s="103">
        <f t="shared" si="7"/>
        <v>-72000</v>
      </c>
      <c r="P15" s="43"/>
      <c r="Q15" s="43"/>
      <c r="R15" s="80" t="s">
        <v>31</v>
      </c>
      <c r="S15" s="81">
        <f>S2+S7</f>
        <v>311493.89090540074</v>
      </c>
      <c r="T15" s="81">
        <v>489176.09274999995</v>
      </c>
      <c r="U15" s="81">
        <f t="shared" si="2"/>
        <v>-177682.20184459921</v>
      </c>
    </row>
    <row r="16" spans="1:21" x14ac:dyDescent="0.25">
      <c r="A16" s="101" t="s">
        <v>8</v>
      </c>
      <c r="B16" s="102">
        <v>-500</v>
      </c>
      <c r="C16" s="102">
        <v>-500</v>
      </c>
      <c r="D16" s="102">
        <v>-500</v>
      </c>
      <c r="E16" s="102">
        <v>-500</v>
      </c>
      <c r="F16" s="102">
        <v>-500</v>
      </c>
      <c r="G16" s="102">
        <v>-500</v>
      </c>
      <c r="H16" s="102">
        <v>-500</v>
      </c>
      <c r="I16" s="102">
        <v>-500</v>
      </c>
      <c r="J16" s="102">
        <v>-500</v>
      </c>
      <c r="K16" s="102">
        <v>-500</v>
      </c>
      <c r="L16" s="102">
        <v>-500</v>
      </c>
      <c r="M16" s="102">
        <v>-500</v>
      </c>
      <c r="N16" s="103">
        <f t="shared" si="7"/>
        <v>-6000</v>
      </c>
      <c r="P16" s="43"/>
      <c r="Q16" s="43"/>
      <c r="R16" s="80" t="s">
        <v>10</v>
      </c>
      <c r="S16" s="86">
        <f>SUM(S17:S25)</f>
        <v>-279938</v>
      </c>
      <c r="T16" s="81">
        <v>-281594</v>
      </c>
      <c r="U16" s="81">
        <f t="shared" si="2"/>
        <v>1656</v>
      </c>
    </row>
    <row r="17" spans="1:25" x14ac:dyDescent="0.25">
      <c r="A17" s="101" t="s">
        <v>7</v>
      </c>
      <c r="B17" s="102">
        <v>-3650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f t="shared" si="7"/>
        <v>-3650</v>
      </c>
      <c r="P17" s="43"/>
      <c r="Q17" s="43"/>
      <c r="R17" s="77" t="s">
        <v>11</v>
      </c>
      <c r="S17" s="79">
        <f>N12</f>
        <v>-21009</v>
      </c>
      <c r="T17" s="79">
        <v>-21348</v>
      </c>
      <c r="U17" s="79">
        <f t="shared" si="2"/>
        <v>339</v>
      </c>
      <c r="Y17" s="90"/>
    </row>
    <row r="18" spans="1:25" x14ac:dyDescent="0.25">
      <c r="A18" s="104" t="s">
        <v>80</v>
      </c>
      <c r="B18" s="105">
        <f>SUM(B19:B21)</f>
        <v>-7285</v>
      </c>
      <c r="C18" s="105">
        <f t="shared" ref="C18:M18" si="8">SUM(C19:C21)</f>
        <v>-3477</v>
      </c>
      <c r="D18" s="105">
        <f t="shared" si="8"/>
        <v>-3528</v>
      </c>
      <c r="E18" s="105">
        <f t="shared" si="8"/>
        <v>-3614</v>
      </c>
      <c r="F18" s="105">
        <f t="shared" si="8"/>
        <v>-3457</v>
      </c>
      <c r="G18" s="105">
        <f t="shared" si="8"/>
        <v>-3555</v>
      </c>
      <c r="H18" s="105">
        <f t="shared" si="8"/>
        <v>-3450</v>
      </c>
      <c r="I18" s="105">
        <f t="shared" si="8"/>
        <v>-3484</v>
      </c>
      <c r="J18" s="105">
        <f t="shared" si="8"/>
        <v>-3279</v>
      </c>
      <c r="K18" s="105">
        <f t="shared" si="8"/>
        <v>-3327</v>
      </c>
      <c r="L18" s="105">
        <f t="shared" si="8"/>
        <v>-3490</v>
      </c>
      <c r="M18" s="105">
        <f t="shared" si="8"/>
        <v>-3406</v>
      </c>
      <c r="N18" s="106">
        <f t="shared" si="7"/>
        <v>-45352</v>
      </c>
      <c r="P18" s="43"/>
      <c r="Q18" s="43"/>
      <c r="R18" s="77" t="s">
        <v>12</v>
      </c>
      <c r="S18" s="79">
        <f>N13</f>
        <v>-8922</v>
      </c>
      <c r="T18" s="79">
        <v>-9198</v>
      </c>
      <c r="U18" s="79">
        <f t="shared" si="2"/>
        <v>276</v>
      </c>
      <c r="Y18" s="90"/>
    </row>
    <row r="19" spans="1:25" x14ac:dyDescent="0.25">
      <c r="A19" s="101" t="s">
        <v>14</v>
      </c>
      <c r="B19" s="102">
        <v>-2173</v>
      </c>
      <c r="C19" s="102">
        <v>-2225</v>
      </c>
      <c r="D19" s="102">
        <v>-2293</v>
      </c>
      <c r="E19" s="102">
        <v>-2128</v>
      </c>
      <c r="F19" s="102">
        <v>-2058</v>
      </c>
      <c r="G19" s="102">
        <v>-2191</v>
      </c>
      <c r="H19" s="102">
        <v>-2019</v>
      </c>
      <c r="I19" s="102">
        <v>-2210</v>
      </c>
      <c r="J19" s="102">
        <v>-2046</v>
      </c>
      <c r="K19" s="102">
        <v>-2125</v>
      </c>
      <c r="L19" s="102">
        <v>-2024</v>
      </c>
      <c r="M19" s="102">
        <v>-2071</v>
      </c>
      <c r="N19" s="103">
        <f t="shared" si="7"/>
        <v>-25563</v>
      </c>
      <c r="P19" s="43"/>
      <c r="Q19" s="43"/>
      <c r="R19" s="77" t="s">
        <v>13</v>
      </c>
      <c r="S19" s="79">
        <f>N14</f>
        <v>-25341</v>
      </c>
      <c r="T19" s="79">
        <v>-25088</v>
      </c>
      <c r="U19" s="79">
        <f t="shared" si="2"/>
        <v>-253</v>
      </c>
      <c r="Y19" s="90"/>
    </row>
    <row r="20" spans="1:25" x14ac:dyDescent="0.25">
      <c r="A20" s="101" t="s">
        <v>18</v>
      </c>
      <c r="B20" s="102">
        <v>-1462</v>
      </c>
      <c r="C20" s="102">
        <v>-1252</v>
      </c>
      <c r="D20" s="102">
        <v>-1235</v>
      </c>
      <c r="E20" s="102">
        <v>-1486</v>
      </c>
      <c r="F20" s="102">
        <v>-1399</v>
      </c>
      <c r="G20" s="102">
        <v>-1364</v>
      </c>
      <c r="H20" s="102">
        <v>-1431</v>
      </c>
      <c r="I20" s="102">
        <v>-1274</v>
      </c>
      <c r="J20" s="102">
        <v>-1233</v>
      </c>
      <c r="K20" s="102">
        <v>-1202</v>
      </c>
      <c r="L20" s="102">
        <v>-1466</v>
      </c>
      <c r="M20" s="102">
        <v>-1335</v>
      </c>
      <c r="N20" s="103">
        <f t="shared" si="7"/>
        <v>-16139</v>
      </c>
      <c r="P20" s="43"/>
      <c r="Q20" s="43"/>
      <c r="R20" s="77" t="s">
        <v>14</v>
      </c>
      <c r="S20" s="79">
        <f>N19</f>
        <v>-25563</v>
      </c>
      <c r="T20" s="79">
        <v>-25871</v>
      </c>
      <c r="U20" s="79">
        <f t="shared" si="2"/>
        <v>308</v>
      </c>
      <c r="Y20" s="90"/>
    </row>
    <row r="21" spans="1:25" x14ac:dyDescent="0.25">
      <c r="A21" s="101" t="s">
        <v>7</v>
      </c>
      <c r="B21" s="102">
        <v>-3650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f t="shared" si="7"/>
        <v>-3650</v>
      </c>
      <c r="P21" s="43"/>
      <c r="Q21" s="43"/>
      <c r="R21" s="77" t="s">
        <v>18</v>
      </c>
      <c r="S21" s="79">
        <f>N20</f>
        <v>-16139</v>
      </c>
      <c r="T21" s="79">
        <v>-17207</v>
      </c>
      <c r="U21" s="79">
        <f t="shared" si="2"/>
        <v>1068</v>
      </c>
      <c r="Y21" s="90"/>
    </row>
    <row r="22" spans="1:25" x14ac:dyDescent="0.25">
      <c r="A22" s="104" t="s">
        <v>81</v>
      </c>
      <c r="B22" s="105">
        <f>SUM(B23:B32)</f>
        <v>-26031</v>
      </c>
      <c r="C22" s="105">
        <f t="shared" ref="C22:M22" si="9">SUM(C23:C32)</f>
        <v>-44861</v>
      </c>
      <c r="D22" s="105">
        <f t="shared" si="9"/>
        <v>-26760</v>
      </c>
      <c r="E22" s="105">
        <f t="shared" si="9"/>
        <v>-26134</v>
      </c>
      <c r="F22" s="105">
        <f t="shared" si="9"/>
        <v>-26050</v>
      </c>
      <c r="G22" s="105">
        <f t="shared" si="9"/>
        <v>-50817</v>
      </c>
      <c r="H22" s="105">
        <f t="shared" si="9"/>
        <v>-25251</v>
      </c>
      <c r="I22" s="105">
        <f t="shared" si="9"/>
        <v>-26565</v>
      </c>
      <c r="J22" s="105">
        <f t="shared" si="9"/>
        <v>-26748</v>
      </c>
      <c r="K22" s="105">
        <f t="shared" si="9"/>
        <v>-27526</v>
      </c>
      <c r="L22" s="105">
        <f t="shared" si="9"/>
        <v>-60625</v>
      </c>
      <c r="M22" s="105">
        <f t="shared" si="9"/>
        <v>-25672</v>
      </c>
      <c r="N22" s="106">
        <f t="shared" si="7"/>
        <v>-393040</v>
      </c>
      <c r="P22" s="43"/>
      <c r="Q22" s="43"/>
      <c r="R22" s="77" t="s">
        <v>19</v>
      </c>
      <c r="S22" s="79">
        <f>N23</f>
        <v>-52000</v>
      </c>
      <c r="T22" s="79">
        <v>-124930</v>
      </c>
      <c r="U22" s="79">
        <f t="shared" si="2"/>
        <v>72930</v>
      </c>
      <c r="Y22" s="90"/>
    </row>
    <row r="23" spans="1:25" x14ac:dyDescent="0.25">
      <c r="A23" s="101" t="s">
        <v>19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-25000</v>
      </c>
      <c r="H23" s="102">
        <v>0</v>
      </c>
      <c r="I23" s="102">
        <v>0</v>
      </c>
      <c r="J23" s="102">
        <v>0</v>
      </c>
      <c r="K23" s="102">
        <v>0</v>
      </c>
      <c r="L23" s="102">
        <v>-27000</v>
      </c>
      <c r="M23" s="102">
        <v>0</v>
      </c>
      <c r="N23" s="103">
        <f t="shared" si="7"/>
        <v>-52000</v>
      </c>
      <c r="P23" s="43"/>
      <c r="Q23" s="43"/>
      <c r="R23" s="77" t="s">
        <v>20</v>
      </c>
      <c r="S23" s="79">
        <f>N24</f>
        <v>-34392</v>
      </c>
      <c r="T23" s="79">
        <v>-29502</v>
      </c>
      <c r="U23" s="79">
        <f t="shared" si="2"/>
        <v>-4890</v>
      </c>
      <c r="Y23" s="90"/>
    </row>
    <row r="24" spans="1:25" x14ac:dyDescent="0.25">
      <c r="A24" s="101" t="s">
        <v>24</v>
      </c>
      <c r="B24" s="102">
        <v>-3041</v>
      </c>
      <c r="C24" s="102">
        <v>-2717</v>
      </c>
      <c r="D24" s="102">
        <v>-2526</v>
      </c>
      <c r="E24" s="102">
        <v>-3373</v>
      </c>
      <c r="F24" s="102">
        <v>-3226</v>
      </c>
      <c r="G24" s="102">
        <v>-2237</v>
      </c>
      <c r="H24" s="102">
        <v>-2414</v>
      </c>
      <c r="I24" s="102">
        <v>-3220</v>
      </c>
      <c r="J24" s="102">
        <v>-3484</v>
      </c>
      <c r="K24" s="102">
        <v>-3328</v>
      </c>
      <c r="L24" s="102">
        <v>-2051</v>
      </c>
      <c r="M24" s="102">
        <v>-2775</v>
      </c>
      <c r="N24" s="103">
        <f t="shared" si="7"/>
        <v>-34392</v>
      </c>
      <c r="O24" s="90"/>
      <c r="P24" s="43"/>
      <c r="Q24" s="43"/>
      <c r="R24" s="77" t="s">
        <v>29</v>
      </c>
      <c r="S24" s="79">
        <f>N26</f>
        <v>-32965</v>
      </c>
      <c r="T24" s="79">
        <v>-28450</v>
      </c>
      <c r="U24" s="79">
        <f t="shared" si="2"/>
        <v>-4515</v>
      </c>
      <c r="Y24" s="90"/>
    </row>
    <row r="25" spans="1:25" x14ac:dyDescent="0.25">
      <c r="A25" s="101" t="s">
        <v>32</v>
      </c>
      <c r="B25" s="102">
        <v>-3000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3">
        <f t="shared" si="7"/>
        <v>-3000</v>
      </c>
      <c r="P25" s="43"/>
      <c r="Q25" s="43"/>
      <c r="R25" s="77" t="s">
        <v>21</v>
      </c>
      <c r="S25" s="79">
        <f>N32</f>
        <v>-63607</v>
      </c>
      <c r="T25" s="79">
        <v>0</v>
      </c>
      <c r="U25" s="79">
        <f t="shared" si="2"/>
        <v>-63607</v>
      </c>
      <c r="Y25" s="90"/>
    </row>
    <row r="26" spans="1:25" x14ac:dyDescent="0.25">
      <c r="A26" s="101" t="s">
        <v>82</v>
      </c>
      <c r="B26" s="102">
        <v>-2492</v>
      </c>
      <c r="C26" s="102">
        <v>-1646</v>
      </c>
      <c r="D26" s="102">
        <v>-2491</v>
      </c>
      <c r="E26" s="102">
        <v>-2284</v>
      </c>
      <c r="F26" s="102">
        <v>-2033</v>
      </c>
      <c r="G26" s="102">
        <v>-1751</v>
      </c>
      <c r="H26" s="102">
        <v>-1684</v>
      </c>
      <c r="I26" s="102">
        <v>-2475</v>
      </c>
      <c r="J26" s="102">
        <v>-2301</v>
      </c>
      <c r="K26" s="102">
        <v>-2282</v>
      </c>
      <c r="L26" s="102">
        <v>-10000</v>
      </c>
      <c r="M26" s="102">
        <v>-1526</v>
      </c>
      <c r="N26" s="103">
        <f t="shared" si="7"/>
        <v>-32965</v>
      </c>
      <c r="P26" s="43"/>
      <c r="Q26" s="43"/>
      <c r="R26" s="80" t="s">
        <v>22</v>
      </c>
      <c r="S26" s="82">
        <f>S15+S16</f>
        <v>31555.890905400738</v>
      </c>
      <c r="T26" s="82">
        <f>T15+T16</f>
        <v>207582.09274999995</v>
      </c>
      <c r="U26" s="82">
        <f t="shared" si="2"/>
        <v>-176026.20184459921</v>
      </c>
      <c r="Y26" s="90"/>
    </row>
    <row r="27" spans="1:25" x14ac:dyDescent="0.25">
      <c r="A27" s="101" t="s">
        <v>9</v>
      </c>
      <c r="B27" s="102">
        <v>-10000</v>
      </c>
      <c r="C27" s="102">
        <v>-10000</v>
      </c>
      <c r="D27" s="102">
        <v>-10000</v>
      </c>
      <c r="E27" s="102">
        <v>-10000</v>
      </c>
      <c r="F27" s="102">
        <v>-10000</v>
      </c>
      <c r="G27" s="102">
        <v>-10000</v>
      </c>
      <c r="H27" s="102">
        <v>-10000</v>
      </c>
      <c r="I27" s="102">
        <v>-10000</v>
      </c>
      <c r="J27" s="102">
        <v>-10000</v>
      </c>
      <c r="K27" s="102">
        <v>-10000</v>
      </c>
      <c r="L27" s="102">
        <v>-10000</v>
      </c>
      <c r="M27" s="102">
        <v>-10000</v>
      </c>
      <c r="N27" s="103">
        <f t="shared" si="7"/>
        <v>-120000</v>
      </c>
      <c r="P27" s="43"/>
      <c r="Q27" s="43"/>
      <c r="R27" s="77" t="s">
        <v>25</v>
      </c>
      <c r="S27" s="79">
        <v>-21576</v>
      </c>
      <c r="T27" s="79">
        <f>'Příjmy a výdaje 2018'!S26</f>
        <v>-71576</v>
      </c>
      <c r="U27" s="79">
        <f t="shared" si="2"/>
        <v>50000</v>
      </c>
      <c r="Y27" s="90"/>
    </row>
    <row r="28" spans="1:25" x14ac:dyDescent="0.25">
      <c r="A28" s="101" t="s">
        <v>15</v>
      </c>
      <c r="B28" s="102">
        <v>-2400</v>
      </c>
      <c r="C28" s="102">
        <v>-2400</v>
      </c>
      <c r="D28" s="102">
        <v>-2400</v>
      </c>
      <c r="E28" s="102">
        <v>-2400</v>
      </c>
      <c r="F28" s="102">
        <v>-2400</v>
      </c>
      <c r="G28" s="102">
        <v>-2400</v>
      </c>
      <c r="H28" s="102">
        <v>-2400</v>
      </c>
      <c r="I28" s="102">
        <v>-2400</v>
      </c>
      <c r="J28" s="102">
        <v>-2400</v>
      </c>
      <c r="K28" s="102">
        <v>-2400</v>
      </c>
      <c r="L28" s="102">
        <v>-2400</v>
      </c>
      <c r="M28" s="102">
        <v>-2400</v>
      </c>
      <c r="N28" s="103">
        <f t="shared" si="7"/>
        <v>-28800</v>
      </c>
      <c r="P28" s="43"/>
      <c r="Q28" s="43"/>
      <c r="R28" s="77" t="s">
        <v>95</v>
      </c>
      <c r="S28" s="79">
        <f>N25</f>
        <v>-3000</v>
      </c>
      <c r="T28" s="79">
        <v>-3000</v>
      </c>
      <c r="U28" s="79">
        <f t="shared" si="2"/>
        <v>0</v>
      </c>
      <c r="Y28" s="90"/>
    </row>
    <row r="29" spans="1:25" x14ac:dyDescent="0.25">
      <c r="A29" s="101" t="s">
        <v>16</v>
      </c>
      <c r="B29" s="102">
        <v>-1700</v>
      </c>
      <c r="C29" s="102">
        <v>-1700</v>
      </c>
      <c r="D29" s="102">
        <v>-1500</v>
      </c>
      <c r="E29" s="102">
        <v>-1200</v>
      </c>
      <c r="F29" s="102">
        <v>-1200</v>
      </c>
      <c r="G29" s="102">
        <v>-1200</v>
      </c>
      <c r="H29" s="102">
        <v>-1200</v>
      </c>
      <c r="I29" s="102">
        <v>-1200</v>
      </c>
      <c r="J29" s="102">
        <v>-1500</v>
      </c>
      <c r="K29" s="102">
        <v>-1700</v>
      </c>
      <c r="L29" s="102">
        <v>-1700</v>
      </c>
      <c r="M29" s="102">
        <v>-1700</v>
      </c>
      <c r="N29" s="103">
        <f t="shared" si="7"/>
        <v>-17500</v>
      </c>
      <c r="P29" s="43"/>
      <c r="Q29" s="43"/>
      <c r="R29" s="80" t="s">
        <v>23</v>
      </c>
      <c r="S29" s="82">
        <f>S26+S27+S28</f>
        <v>6979.8909054007381</v>
      </c>
      <c r="T29" s="82">
        <f>T26+T27+T28</f>
        <v>133006.09274999995</v>
      </c>
      <c r="U29" s="82">
        <f t="shared" si="2"/>
        <v>-126026.20184459921</v>
      </c>
      <c r="Y29" s="90"/>
    </row>
    <row r="30" spans="1:25" x14ac:dyDescent="0.25">
      <c r="A30" s="101" t="s">
        <v>17</v>
      </c>
      <c r="B30" s="102">
        <v>-1600</v>
      </c>
      <c r="C30" s="102">
        <v>-1600</v>
      </c>
      <c r="D30" s="102">
        <v>-1600</v>
      </c>
      <c r="E30" s="102">
        <v>-1600</v>
      </c>
      <c r="F30" s="102">
        <v>-1600</v>
      </c>
      <c r="G30" s="102">
        <v>-1600</v>
      </c>
      <c r="H30" s="102">
        <v>-1600</v>
      </c>
      <c r="I30" s="102">
        <v>-1600</v>
      </c>
      <c r="J30" s="102">
        <v>-1600</v>
      </c>
      <c r="K30" s="102">
        <v>-1600</v>
      </c>
      <c r="L30" s="102">
        <v>-1600</v>
      </c>
      <c r="M30" s="102">
        <v>-1600</v>
      </c>
      <c r="N30" s="103">
        <f t="shared" si="7"/>
        <v>-19200</v>
      </c>
      <c r="S30" s="90"/>
    </row>
    <row r="31" spans="1:25" x14ac:dyDescent="0.25">
      <c r="A31" s="101" t="s">
        <v>25</v>
      </c>
      <c r="B31" s="102">
        <v>-1798</v>
      </c>
      <c r="C31" s="102">
        <v>-1798</v>
      </c>
      <c r="D31" s="102">
        <v>-1798</v>
      </c>
      <c r="E31" s="102">
        <v>-1798</v>
      </c>
      <c r="F31" s="102">
        <v>-1798</v>
      </c>
      <c r="G31" s="102">
        <v>-1798</v>
      </c>
      <c r="H31" s="102">
        <v>-1798</v>
      </c>
      <c r="I31" s="102">
        <v>-1798</v>
      </c>
      <c r="J31" s="102">
        <v>-1798</v>
      </c>
      <c r="K31" s="102">
        <v>-1798</v>
      </c>
      <c r="L31" s="102">
        <v>-1798</v>
      </c>
      <c r="M31" s="102">
        <v>-1798</v>
      </c>
      <c r="N31" s="108">
        <f t="shared" si="7"/>
        <v>-21576</v>
      </c>
      <c r="V31" s="90"/>
    </row>
    <row r="32" spans="1:25" ht="15.75" thickBot="1" x14ac:dyDescent="0.3">
      <c r="A32" s="107" t="s">
        <v>21</v>
      </c>
      <c r="B32" s="102">
        <v>0</v>
      </c>
      <c r="C32" s="102">
        <v>-23000</v>
      </c>
      <c r="D32" s="102">
        <v>-4445</v>
      </c>
      <c r="E32" s="102">
        <v>-3479</v>
      </c>
      <c r="F32" s="102">
        <v>-3793</v>
      </c>
      <c r="G32" s="102">
        <v>-4831</v>
      </c>
      <c r="H32" s="102">
        <v>-4155</v>
      </c>
      <c r="I32" s="102">
        <v>-3872</v>
      </c>
      <c r="J32" s="102">
        <v>-3665</v>
      </c>
      <c r="K32" s="102">
        <v>-4418</v>
      </c>
      <c r="L32" s="102">
        <v>-4076</v>
      </c>
      <c r="M32" s="102">
        <v>-3873</v>
      </c>
      <c r="N32" s="108">
        <f t="shared" ref="N32" si="10">SUM(B32:M32)</f>
        <v>-63607</v>
      </c>
    </row>
    <row r="33" spans="1:23" ht="15.75" thickBot="1" x14ac:dyDescent="0.3">
      <c r="A33" s="111" t="s">
        <v>83</v>
      </c>
      <c r="B33" s="114">
        <f t="shared" ref="B33:M33" si="11">B11++B18+B22</f>
        <v>-48075</v>
      </c>
      <c r="C33" s="114">
        <f t="shared" si="11"/>
        <v>-59388</v>
      </c>
      <c r="D33" s="114">
        <f t="shared" si="11"/>
        <v>-41428</v>
      </c>
      <c r="E33" s="114">
        <f t="shared" si="11"/>
        <v>-40936</v>
      </c>
      <c r="F33" s="114">
        <f t="shared" si="11"/>
        <v>-40596</v>
      </c>
      <c r="G33" s="114">
        <f t="shared" si="11"/>
        <v>-65377</v>
      </c>
      <c r="H33" s="114">
        <f t="shared" si="11"/>
        <v>-39805</v>
      </c>
      <c r="I33" s="114">
        <f t="shared" si="11"/>
        <v>-41079</v>
      </c>
      <c r="J33" s="114">
        <f t="shared" si="11"/>
        <v>-41247</v>
      </c>
      <c r="K33" s="114">
        <f t="shared" si="11"/>
        <v>-41983</v>
      </c>
      <c r="L33" s="114">
        <f t="shared" si="11"/>
        <v>-75247</v>
      </c>
      <c r="M33" s="114">
        <f t="shared" si="11"/>
        <v>-40153</v>
      </c>
      <c r="N33" s="115">
        <f>N11+N18+N22</f>
        <v>-575314</v>
      </c>
    </row>
    <row r="34" spans="1:23" ht="15.75" thickBot="1" x14ac:dyDescent="0.3">
      <c r="A34" s="111" t="s">
        <v>46</v>
      </c>
      <c r="B34" s="114">
        <f t="shared" ref="B34:M34" si="12">B10+B33</f>
        <v>11364.070457597503</v>
      </c>
      <c r="C34" s="114">
        <f t="shared" si="12"/>
        <v>-2501.6909793974992</v>
      </c>
      <c r="D34" s="114">
        <f t="shared" si="12"/>
        <v>18016.749103130001</v>
      </c>
      <c r="E34" s="114">
        <f t="shared" si="12"/>
        <v>17661.461984477501</v>
      </c>
      <c r="F34" s="114">
        <f t="shared" si="12"/>
        <v>18849.485403262501</v>
      </c>
      <c r="G34" s="114">
        <f t="shared" si="12"/>
        <v>-6800.3138445099976</v>
      </c>
      <c r="H34" s="114">
        <f t="shared" si="12"/>
        <v>-1745.1169114161094</v>
      </c>
      <c r="I34" s="114">
        <f t="shared" si="12"/>
        <v>-3020.1849611511061</v>
      </c>
      <c r="J34" s="114">
        <f t="shared" si="12"/>
        <v>-3188.3135257336107</v>
      </c>
      <c r="K34" s="114">
        <f t="shared" si="12"/>
        <v>-3924.9249806286098</v>
      </c>
      <c r="L34" s="114">
        <f t="shared" si="12"/>
        <v>-37217.219729118609</v>
      </c>
      <c r="M34" s="114">
        <f t="shared" si="12"/>
        <v>-514.11111111110949</v>
      </c>
      <c r="N34" s="115">
        <f>N10+N33</f>
        <v>6979.8909054008545</v>
      </c>
    </row>
    <row r="35" spans="1:23" x14ac:dyDescent="0.25">
      <c r="R35" s="77" t="s">
        <v>34</v>
      </c>
      <c r="S35" s="77" t="s">
        <v>147</v>
      </c>
      <c r="T35" s="77" t="s">
        <v>148</v>
      </c>
      <c r="U35" s="77" t="s">
        <v>149</v>
      </c>
      <c r="V35" s="77" t="s">
        <v>150</v>
      </c>
      <c r="W35" s="77" t="s">
        <v>30</v>
      </c>
    </row>
    <row r="36" spans="1:23" x14ac:dyDescent="0.2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R36" s="80" t="s">
        <v>0</v>
      </c>
      <c r="S36" s="81">
        <v>177850</v>
      </c>
      <c r="T36" s="81">
        <v>177850</v>
      </c>
      <c r="U36" s="81">
        <v>117517</v>
      </c>
      <c r="V36" s="81">
        <v>117517</v>
      </c>
      <c r="W36" s="81">
        <v>590734</v>
      </c>
    </row>
    <row r="37" spans="1:23" x14ac:dyDescent="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R37" s="77" t="s">
        <v>1</v>
      </c>
      <c r="S37" s="78">
        <v>99000</v>
      </c>
      <c r="T37" s="78">
        <v>99000</v>
      </c>
      <c r="U37" s="78">
        <v>99000</v>
      </c>
      <c r="V37" s="78">
        <v>99000</v>
      </c>
      <c r="W37" s="78">
        <v>396000</v>
      </c>
    </row>
    <row r="38" spans="1:23" x14ac:dyDescent="0.25">
      <c r="R38" s="77" t="s">
        <v>2</v>
      </c>
      <c r="S38" s="78">
        <v>3500</v>
      </c>
      <c r="T38" s="78">
        <v>3500</v>
      </c>
      <c r="U38" s="78">
        <v>3500</v>
      </c>
      <c r="V38" s="78">
        <v>3500</v>
      </c>
      <c r="W38" s="78">
        <v>14000</v>
      </c>
    </row>
    <row r="39" spans="1:23" x14ac:dyDescent="0.25">
      <c r="B39" s="135" t="s">
        <v>86</v>
      </c>
      <c r="C39" s="137"/>
      <c r="D39" s="137"/>
      <c r="E39" s="136"/>
      <c r="R39" s="77" t="s">
        <v>3</v>
      </c>
      <c r="S39" s="78">
        <v>75000</v>
      </c>
      <c r="T39" s="78">
        <v>75000</v>
      </c>
      <c r="U39" s="78">
        <v>14667</v>
      </c>
      <c r="V39" s="78">
        <v>14667</v>
      </c>
      <c r="W39" s="78">
        <v>179334</v>
      </c>
    </row>
    <row r="40" spans="1:23" x14ac:dyDescent="0.25">
      <c r="B40" s="135" t="s">
        <v>39</v>
      </c>
      <c r="C40" s="136"/>
      <c r="D40" s="135" t="s">
        <v>40</v>
      </c>
      <c r="E40" s="136"/>
      <c r="N40" s="90"/>
      <c r="R40" s="77" t="s">
        <v>4</v>
      </c>
      <c r="S40" s="78">
        <v>350</v>
      </c>
      <c r="T40" s="78">
        <v>350</v>
      </c>
      <c r="U40" s="78">
        <v>350</v>
      </c>
      <c r="V40" s="78">
        <v>350</v>
      </c>
      <c r="W40" s="78">
        <v>1400</v>
      </c>
    </row>
    <row r="41" spans="1:23" x14ac:dyDescent="0.25">
      <c r="B41" s="124" t="s">
        <v>41</v>
      </c>
      <c r="C41" s="124" t="s">
        <v>42</v>
      </c>
      <c r="D41" s="124" t="s">
        <v>41</v>
      </c>
      <c r="E41" s="124" t="s">
        <v>42</v>
      </c>
      <c r="R41" s="80" t="s">
        <v>5</v>
      </c>
      <c r="S41" s="81">
        <v>-73700</v>
      </c>
      <c r="T41" s="81">
        <v>-65100</v>
      </c>
      <c r="U41" s="81">
        <v>-65400</v>
      </c>
      <c r="V41" s="81">
        <v>-66600</v>
      </c>
      <c r="W41" s="81">
        <v>-270800</v>
      </c>
    </row>
    <row r="42" spans="1:23" x14ac:dyDescent="0.25">
      <c r="B42" s="124" t="s">
        <v>49</v>
      </c>
      <c r="C42" s="124">
        <v>203006</v>
      </c>
      <c r="D42" s="124" t="s">
        <v>100</v>
      </c>
      <c r="E42" s="124">
        <f>C45-SUM(E43:E44)</f>
        <v>273960</v>
      </c>
      <c r="R42" s="77" t="s">
        <v>6</v>
      </c>
      <c r="S42" s="78">
        <v>-18000</v>
      </c>
      <c r="T42" s="78">
        <v>-18000</v>
      </c>
      <c r="U42" s="78">
        <v>-18000</v>
      </c>
      <c r="V42" s="78">
        <v>-18000</v>
      </c>
      <c r="W42" s="78">
        <v>-72000</v>
      </c>
    </row>
    <row r="43" spans="1:23" x14ac:dyDescent="0.25">
      <c r="B43" s="124" t="s">
        <v>43</v>
      </c>
      <c r="C43" s="124">
        <v>50250</v>
      </c>
      <c r="D43" s="124" t="s">
        <v>47</v>
      </c>
      <c r="E43" s="124">
        <v>3000</v>
      </c>
      <c r="R43" s="77" t="s">
        <v>7</v>
      </c>
      <c r="S43" s="78">
        <v>-7300</v>
      </c>
      <c r="T43" s="78">
        <v>0</v>
      </c>
      <c r="U43" s="78">
        <v>0</v>
      </c>
      <c r="V43" s="78">
        <v>0</v>
      </c>
      <c r="W43" s="78">
        <v>-7300</v>
      </c>
    </row>
    <row r="44" spans="1:23" x14ac:dyDescent="0.25">
      <c r="B44" s="124" t="s">
        <v>44</v>
      </c>
      <c r="C44" s="124">
        <v>23704</v>
      </c>
      <c r="D44" s="124" t="s">
        <v>48</v>
      </c>
      <c r="E44" s="124">
        <v>0</v>
      </c>
      <c r="R44" s="77" t="s">
        <v>8</v>
      </c>
      <c r="S44" s="78">
        <v>-1500</v>
      </c>
      <c r="T44" s="78">
        <v>-1500</v>
      </c>
      <c r="U44" s="78">
        <v>-1500</v>
      </c>
      <c r="V44" s="78">
        <v>-1500</v>
      </c>
      <c r="W44" s="78">
        <v>-6000</v>
      </c>
    </row>
    <row r="45" spans="1:23" x14ac:dyDescent="0.25">
      <c r="B45" s="125" t="s">
        <v>30</v>
      </c>
      <c r="C45" s="125">
        <f>SUM(C42:C44)</f>
        <v>276960</v>
      </c>
      <c r="D45" s="132" t="s">
        <v>45</v>
      </c>
      <c r="E45" s="125">
        <f>SUM(E42:E44)</f>
        <v>276960</v>
      </c>
      <c r="R45" s="77" t="s">
        <v>9</v>
      </c>
      <c r="S45" s="78">
        <v>-30000</v>
      </c>
      <c r="T45" s="78">
        <v>-30000</v>
      </c>
      <c r="U45" s="78">
        <v>-30000</v>
      </c>
      <c r="V45" s="78">
        <v>-30000</v>
      </c>
      <c r="W45" s="78">
        <v>-120000</v>
      </c>
    </row>
    <row r="46" spans="1:23" x14ac:dyDescent="0.25">
      <c r="R46" s="77" t="s">
        <v>15</v>
      </c>
      <c r="S46" s="78">
        <v>-7200</v>
      </c>
      <c r="T46" s="78">
        <v>-7200</v>
      </c>
      <c r="U46" s="78">
        <v>-7200</v>
      </c>
      <c r="V46" s="78">
        <v>-7200</v>
      </c>
      <c r="W46" s="78">
        <v>-28800</v>
      </c>
    </row>
    <row r="47" spans="1:23" x14ac:dyDescent="0.25">
      <c r="R47" s="77" t="s">
        <v>16</v>
      </c>
      <c r="S47" s="78">
        <v>-4900</v>
      </c>
      <c r="T47" s="78">
        <v>-3600</v>
      </c>
      <c r="U47" s="78">
        <v>-3900</v>
      </c>
      <c r="V47" s="78">
        <v>-5100</v>
      </c>
      <c r="W47" s="78">
        <v>-17500</v>
      </c>
    </row>
    <row r="48" spans="1:23" x14ac:dyDescent="0.25">
      <c r="B48" s="135" t="s">
        <v>96</v>
      </c>
      <c r="C48" s="137"/>
      <c r="D48" s="137"/>
      <c r="E48" s="136"/>
      <c r="R48" s="77" t="s">
        <v>17</v>
      </c>
      <c r="S48" s="78">
        <v>-4800</v>
      </c>
      <c r="T48" s="78">
        <v>-4800</v>
      </c>
      <c r="U48" s="78">
        <v>-4800</v>
      </c>
      <c r="V48" s="78">
        <v>-4800</v>
      </c>
      <c r="W48" s="78">
        <v>-19200</v>
      </c>
    </row>
    <row r="49" spans="1:23" x14ac:dyDescent="0.25">
      <c r="B49" s="135" t="s">
        <v>39</v>
      </c>
      <c r="C49" s="136"/>
      <c r="D49" s="135" t="s">
        <v>40</v>
      </c>
      <c r="E49" s="136"/>
      <c r="R49" s="80" t="s">
        <v>31</v>
      </c>
      <c r="S49" s="81">
        <v>104150</v>
      </c>
      <c r="T49" s="81">
        <v>112750</v>
      </c>
      <c r="U49" s="81">
        <v>52117</v>
      </c>
      <c r="V49" s="81">
        <v>50917</v>
      </c>
      <c r="W49" s="81">
        <v>319934</v>
      </c>
    </row>
    <row r="50" spans="1:23" x14ac:dyDescent="0.25">
      <c r="B50" s="96" t="s">
        <v>41</v>
      </c>
      <c r="C50" s="96" t="s">
        <v>42</v>
      </c>
      <c r="D50" s="96" t="s">
        <v>41</v>
      </c>
      <c r="E50" s="96" t="s">
        <v>42</v>
      </c>
      <c r="R50" s="80" t="s">
        <v>10</v>
      </c>
      <c r="S50" s="81">
        <v>-49075</v>
      </c>
      <c r="T50" s="81">
        <v>-74075</v>
      </c>
      <c r="U50" s="81">
        <v>-49075</v>
      </c>
      <c r="V50" s="81">
        <v>-74075</v>
      </c>
      <c r="W50" s="81">
        <v>-246300</v>
      </c>
    </row>
    <row r="51" spans="1:23" x14ac:dyDescent="0.25">
      <c r="B51" s="124" t="s">
        <v>49</v>
      </c>
      <c r="C51" s="124">
        <f>C42+S29</f>
        <v>209985.89090540074</v>
      </c>
      <c r="D51" s="124" t="s">
        <v>100</v>
      </c>
      <c r="E51" s="124">
        <f>C54-E52-E53</f>
        <v>304226.89090540074</v>
      </c>
      <c r="F51" s="116"/>
      <c r="G51" s="89"/>
      <c r="R51" s="77" t="s">
        <v>11</v>
      </c>
      <c r="S51" s="79">
        <v>-5325</v>
      </c>
      <c r="T51" s="79">
        <v>-5325</v>
      </c>
      <c r="U51" s="79">
        <v>-5325</v>
      </c>
      <c r="V51" s="79">
        <v>-5325</v>
      </c>
      <c r="W51" s="79">
        <v>-21300</v>
      </c>
    </row>
    <row r="52" spans="1:23" x14ac:dyDescent="0.25">
      <c r="B52" s="96" t="s">
        <v>43</v>
      </c>
      <c r="C52" s="96">
        <v>50753</v>
      </c>
      <c r="D52" s="96" t="s">
        <v>47</v>
      </c>
      <c r="E52" s="96">
        <v>4200</v>
      </c>
      <c r="F52" s="89"/>
      <c r="G52" s="89"/>
      <c r="I52" s="89"/>
      <c r="J52" s="89"/>
      <c r="R52" s="77" t="s">
        <v>12</v>
      </c>
      <c r="S52" s="79">
        <v>-2275</v>
      </c>
      <c r="T52" s="79">
        <v>-2275</v>
      </c>
      <c r="U52" s="79">
        <v>-2275</v>
      </c>
      <c r="V52" s="79">
        <v>-2275</v>
      </c>
      <c r="W52" s="79">
        <v>-9100</v>
      </c>
    </row>
    <row r="53" spans="1:23" x14ac:dyDescent="0.25">
      <c r="A53" s="89"/>
      <c r="B53" s="96" t="s">
        <v>44</v>
      </c>
      <c r="C53" s="96">
        <v>47688</v>
      </c>
      <c r="D53" s="96" t="s">
        <v>48</v>
      </c>
      <c r="E53" s="96">
        <v>0</v>
      </c>
      <c r="G53" s="89"/>
      <c r="R53" s="77" t="s">
        <v>13</v>
      </c>
      <c r="S53" s="79">
        <v>-6250</v>
      </c>
      <c r="T53" s="79">
        <v>-6250</v>
      </c>
      <c r="U53" s="79">
        <v>-6250</v>
      </c>
      <c r="V53" s="79">
        <v>-6250</v>
      </c>
      <c r="W53" s="79">
        <v>-25000</v>
      </c>
    </row>
    <row r="54" spans="1:23" x14ac:dyDescent="0.25">
      <c r="A54" s="89"/>
      <c r="B54" s="125" t="s">
        <v>30</v>
      </c>
      <c r="C54" s="125">
        <f>SUM(C51:C53)</f>
        <v>308426.89090540074</v>
      </c>
      <c r="D54" s="132" t="s">
        <v>45</v>
      </c>
      <c r="E54" s="125">
        <f>SUM(E51:E53)</f>
        <v>308426.89090540074</v>
      </c>
      <c r="R54" s="77" t="s">
        <v>14</v>
      </c>
      <c r="S54" s="79">
        <v>-6450</v>
      </c>
      <c r="T54" s="79">
        <v>-6450</v>
      </c>
      <c r="U54" s="79">
        <v>-6450</v>
      </c>
      <c r="V54" s="79">
        <v>-6450</v>
      </c>
      <c r="W54" s="79">
        <v>-25800</v>
      </c>
    </row>
    <row r="55" spans="1:23" x14ac:dyDescent="0.25">
      <c r="R55" s="77" t="s">
        <v>18</v>
      </c>
      <c r="S55" s="79">
        <v>-4300</v>
      </c>
      <c r="T55" s="79">
        <v>-4300</v>
      </c>
      <c r="U55" s="79">
        <v>-4300</v>
      </c>
      <c r="V55" s="79">
        <v>-4300</v>
      </c>
      <c r="W55" s="79">
        <v>-17200</v>
      </c>
    </row>
    <row r="56" spans="1:23" x14ac:dyDescent="0.25">
      <c r="H56" s="89"/>
      <c r="I56" s="89"/>
      <c r="R56" s="77" t="s">
        <v>19</v>
      </c>
      <c r="S56" s="79">
        <v>0</v>
      </c>
      <c r="T56" s="79">
        <v>-25000</v>
      </c>
      <c r="U56" s="79">
        <v>0</v>
      </c>
      <c r="V56" s="79">
        <v>-25000</v>
      </c>
      <c r="W56" s="79">
        <v>-50000</v>
      </c>
    </row>
    <row r="57" spans="1:23" x14ac:dyDescent="0.25">
      <c r="I57" s="89"/>
      <c r="R57" s="77" t="s">
        <v>20</v>
      </c>
      <c r="S57" s="79">
        <v>-7375</v>
      </c>
      <c r="T57" s="79">
        <v>-7375</v>
      </c>
      <c r="U57" s="79">
        <v>-7375</v>
      </c>
      <c r="V57" s="79">
        <v>-7375</v>
      </c>
      <c r="W57" s="79">
        <v>-29500</v>
      </c>
    </row>
    <row r="58" spans="1:23" x14ac:dyDescent="0.25">
      <c r="R58" s="77" t="s">
        <v>29</v>
      </c>
      <c r="S58" s="79">
        <v>-7100</v>
      </c>
      <c r="T58" s="79">
        <v>-7100</v>
      </c>
      <c r="U58" s="79">
        <v>-7100</v>
      </c>
      <c r="V58" s="79">
        <v>-7100</v>
      </c>
      <c r="W58" s="79">
        <v>-28400</v>
      </c>
    </row>
    <row r="59" spans="1:23" x14ac:dyDescent="0.25">
      <c r="R59" s="77" t="s">
        <v>21</v>
      </c>
      <c r="S59" s="79">
        <v>-10000</v>
      </c>
      <c r="T59" s="79">
        <v>-10000</v>
      </c>
      <c r="U59" s="79">
        <v>-10000</v>
      </c>
      <c r="V59" s="79">
        <v>-10000</v>
      </c>
      <c r="W59" s="79">
        <v>-40000</v>
      </c>
    </row>
    <row r="60" spans="1:23" x14ac:dyDescent="0.25">
      <c r="R60" s="80" t="s">
        <v>22</v>
      </c>
      <c r="S60" s="82">
        <v>55075</v>
      </c>
      <c r="T60" s="82">
        <v>38675</v>
      </c>
      <c r="U60" s="82">
        <v>3042</v>
      </c>
      <c r="V60" s="82">
        <v>-23158</v>
      </c>
      <c r="W60" s="82">
        <v>73634</v>
      </c>
    </row>
    <row r="61" spans="1:23" x14ac:dyDescent="0.25">
      <c r="R61" s="77" t="s">
        <v>25</v>
      </c>
      <c r="S61" s="79">
        <v>-5394</v>
      </c>
      <c r="T61" s="79">
        <v>-5394</v>
      </c>
      <c r="U61" s="79">
        <v>-5394</v>
      </c>
      <c r="V61" s="79">
        <v>-5394</v>
      </c>
      <c r="W61" s="79">
        <v>-21576</v>
      </c>
    </row>
    <row r="62" spans="1:23" x14ac:dyDescent="0.25">
      <c r="R62" s="77" t="s">
        <v>95</v>
      </c>
      <c r="S62" s="79">
        <v>-3000</v>
      </c>
      <c r="T62" s="79">
        <v>0</v>
      </c>
      <c r="U62" s="79">
        <v>0</v>
      </c>
      <c r="V62" s="79">
        <v>0</v>
      </c>
      <c r="W62" s="79">
        <v>-3000</v>
      </c>
    </row>
    <row r="63" spans="1:23" x14ac:dyDescent="0.25">
      <c r="R63" s="80" t="s">
        <v>23</v>
      </c>
      <c r="S63" s="82">
        <v>46681</v>
      </c>
      <c r="T63" s="82">
        <v>33281</v>
      </c>
      <c r="U63" s="82">
        <v>-2352</v>
      </c>
      <c r="V63" s="82">
        <v>-28552</v>
      </c>
      <c r="W63" s="82">
        <v>49058</v>
      </c>
    </row>
  </sheetData>
  <mergeCells count="6">
    <mergeCell ref="B49:C49"/>
    <mergeCell ref="D49:E49"/>
    <mergeCell ref="B39:E39"/>
    <mergeCell ref="B40:C40"/>
    <mergeCell ref="D40:E40"/>
    <mergeCell ref="B48:E48"/>
  </mergeCells>
  <conditionalFormatting sqref="D45">
    <cfRule type="cellIs" dxfId="28" priority="3" operator="equal">
      <formula>#REF!</formula>
    </cfRule>
  </conditionalFormatting>
  <conditionalFormatting sqref="D54">
    <cfRule type="cellIs" dxfId="27" priority="2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CDC0-B5F2-4B18-B030-6AE2098DED49}">
  <sheetPr codeName="List2"/>
  <dimension ref="A1:H41"/>
  <sheetViews>
    <sheetView workbookViewId="0">
      <selection activeCell="B16" sqref="B16"/>
    </sheetView>
  </sheetViews>
  <sheetFormatPr defaultColWidth="20.7109375" defaultRowHeight="15" x14ac:dyDescent="0.25"/>
  <cols>
    <col min="1" max="1" width="37" bestFit="1" customWidth="1"/>
  </cols>
  <sheetData>
    <row r="1" spans="1:4" x14ac:dyDescent="0.25">
      <c r="A1" s="77" t="s">
        <v>146</v>
      </c>
      <c r="B1" s="77" t="s">
        <v>33</v>
      </c>
      <c r="C1" s="77" t="s">
        <v>34</v>
      </c>
      <c r="D1" s="77" t="s">
        <v>35</v>
      </c>
    </row>
    <row r="2" spans="1:4" x14ac:dyDescent="0.25">
      <c r="A2" s="80" t="s">
        <v>0</v>
      </c>
      <c r="B2" s="81">
        <f>SUM(B3:B6)</f>
        <v>175770.12858133001</v>
      </c>
      <c r="C2" s="81">
        <v>177850</v>
      </c>
      <c r="D2" s="81">
        <f>B2-C2</f>
        <v>-2079.8714186699945</v>
      </c>
    </row>
    <row r="3" spans="1:4" x14ac:dyDescent="0.25">
      <c r="A3" s="77" t="s">
        <v>1</v>
      </c>
      <c r="B3" s="78">
        <f>SUM('Příjmy a výdaje 2019'!B3:D3)+SUM('Příjmy a výdaje 2019'!B6:D6)</f>
        <v>99000</v>
      </c>
      <c r="C3" s="78">
        <v>99000</v>
      </c>
      <c r="D3" s="78">
        <f t="shared" ref="D3:D6" si="0">B3-C3</f>
        <v>0</v>
      </c>
    </row>
    <row r="4" spans="1:4" x14ac:dyDescent="0.25">
      <c r="A4" s="77" t="s">
        <v>2</v>
      </c>
      <c r="B4" s="78">
        <v>0</v>
      </c>
      <c r="C4" s="78">
        <v>3500</v>
      </c>
      <c r="D4" s="78">
        <f t="shared" si="0"/>
        <v>-3500</v>
      </c>
    </row>
    <row r="5" spans="1:4" x14ac:dyDescent="0.25">
      <c r="A5" s="77" t="s">
        <v>3</v>
      </c>
      <c r="B5" s="78">
        <f>SUM('Příjmy a výdaje 2019'!B7:D7)</f>
        <v>76230</v>
      </c>
      <c r="C5" s="78">
        <v>75000</v>
      </c>
      <c r="D5" s="78">
        <f t="shared" si="0"/>
        <v>1230</v>
      </c>
    </row>
    <row r="6" spans="1:4" x14ac:dyDescent="0.25">
      <c r="A6" s="77" t="s">
        <v>4</v>
      </c>
      <c r="B6" s="78">
        <f>SUM('Příjmy a výdaje 2019'!B9:D9)</f>
        <v>540.12858132999997</v>
      </c>
      <c r="C6" s="78">
        <v>350</v>
      </c>
      <c r="D6" s="78">
        <f t="shared" si="0"/>
        <v>190.12858132999997</v>
      </c>
    </row>
    <row r="7" spans="1:4" x14ac:dyDescent="0.25">
      <c r="A7" s="80" t="s">
        <v>5</v>
      </c>
      <c r="B7" s="81">
        <f>SUM(B8:B14)</f>
        <v>-73700</v>
      </c>
      <c r="C7" s="81">
        <v>-73700</v>
      </c>
      <c r="D7" s="81">
        <f>B7-C7</f>
        <v>0</v>
      </c>
    </row>
    <row r="8" spans="1:4" hidden="1" x14ac:dyDescent="0.25">
      <c r="A8" s="77" t="s">
        <v>6</v>
      </c>
      <c r="B8" s="78">
        <v>-18000</v>
      </c>
      <c r="C8" s="78">
        <v>-18000</v>
      </c>
      <c r="D8" s="78">
        <f t="shared" ref="D8:D14" si="1">B8-C8</f>
        <v>0</v>
      </c>
    </row>
    <row r="9" spans="1:4" hidden="1" x14ac:dyDescent="0.25">
      <c r="A9" s="77" t="s">
        <v>7</v>
      </c>
      <c r="B9" s="78">
        <v>-7300</v>
      </c>
      <c r="C9" s="78">
        <v>-7300</v>
      </c>
      <c r="D9" s="78">
        <f t="shared" si="1"/>
        <v>0</v>
      </c>
    </row>
    <row r="10" spans="1:4" hidden="1" x14ac:dyDescent="0.25">
      <c r="A10" s="77" t="s">
        <v>8</v>
      </c>
      <c r="B10" s="78">
        <v>-1500</v>
      </c>
      <c r="C10" s="78">
        <v>-1500</v>
      </c>
      <c r="D10" s="78">
        <f t="shared" si="1"/>
        <v>0</v>
      </c>
    </row>
    <row r="11" spans="1:4" hidden="1" x14ac:dyDescent="0.25">
      <c r="A11" s="77" t="s">
        <v>9</v>
      </c>
      <c r="B11" s="78">
        <v>-30000</v>
      </c>
      <c r="C11" s="78">
        <v>-30000</v>
      </c>
      <c r="D11" s="78">
        <f t="shared" si="1"/>
        <v>0</v>
      </c>
    </row>
    <row r="12" spans="1:4" hidden="1" x14ac:dyDescent="0.25">
      <c r="A12" s="77" t="s">
        <v>15</v>
      </c>
      <c r="B12" s="79">
        <v>-7200</v>
      </c>
      <c r="C12" s="79">
        <v>-7200</v>
      </c>
      <c r="D12" s="79">
        <f t="shared" si="1"/>
        <v>0</v>
      </c>
    </row>
    <row r="13" spans="1:4" hidden="1" x14ac:dyDescent="0.25">
      <c r="A13" s="77" t="s">
        <v>16</v>
      </c>
      <c r="B13" s="79">
        <v>-4900</v>
      </c>
      <c r="C13" s="79">
        <v>-4900</v>
      </c>
      <c r="D13" s="79">
        <f t="shared" si="1"/>
        <v>0</v>
      </c>
    </row>
    <row r="14" spans="1:4" hidden="1" x14ac:dyDescent="0.25">
      <c r="A14" s="77" t="s">
        <v>17</v>
      </c>
      <c r="B14" s="79">
        <v>-4800</v>
      </c>
      <c r="C14" s="79">
        <v>-4800</v>
      </c>
      <c r="D14" s="79">
        <f t="shared" si="1"/>
        <v>0</v>
      </c>
    </row>
    <row r="15" spans="1:4" x14ac:dyDescent="0.25">
      <c r="A15" s="80" t="s">
        <v>31</v>
      </c>
      <c r="B15" s="81">
        <f>B2+B7</f>
        <v>102070.12858133001</v>
      </c>
      <c r="C15" s="81">
        <v>104150</v>
      </c>
      <c r="D15" s="81">
        <f>B15-C15</f>
        <v>-2079.8714186699945</v>
      </c>
    </row>
    <row r="16" spans="1:4" x14ac:dyDescent="0.25">
      <c r="A16" s="77" t="s">
        <v>10</v>
      </c>
      <c r="B16" s="78">
        <f>SUM(B17:B25)</f>
        <v>-66797</v>
      </c>
      <c r="C16" s="78">
        <v>-49075</v>
      </c>
      <c r="D16" s="78">
        <f>B16-C16</f>
        <v>-17722</v>
      </c>
    </row>
    <row r="17" spans="1:6" x14ac:dyDescent="0.25">
      <c r="A17" s="77" t="s">
        <v>11</v>
      </c>
      <c r="B17" s="79">
        <f>SUM('Příjmy a výdaje 2019'!B12:D12)</f>
        <v>-5194</v>
      </c>
      <c r="C17" s="79">
        <v>-5325</v>
      </c>
      <c r="D17" s="79">
        <f>B17-C17</f>
        <v>131</v>
      </c>
    </row>
    <row r="18" spans="1:6" x14ac:dyDescent="0.25">
      <c r="A18" s="77" t="s">
        <v>12</v>
      </c>
      <c r="B18" s="79">
        <f>SUM('Příjmy a výdaje 2019'!B13:D13)</f>
        <v>-2272</v>
      </c>
      <c r="C18" s="79">
        <v>-2275</v>
      </c>
      <c r="D18" s="79">
        <f t="shared" ref="D18:D23" si="2">B18-C18</f>
        <v>3</v>
      </c>
    </row>
    <row r="19" spans="1:6" x14ac:dyDescent="0.25">
      <c r="A19" s="77" t="s">
        <v>13</v>
      </c>
      <c r="B19" s="79">
        <f>SUM('Příjmy a výdaje 2019'!B14:D14)</f>
        <v>-6333</v>
      </c>
      <c r="C19" s="79">
        <v>-6250</v>
      </c>
      <c r="D19" s="79">
        <f t="shared" si="2"/>
        <v>-83</v>
      </c>
    </row>
    <row r="20" spans="1:6" x14ac:dyDescent="0.25">
      <c r="A20" s="77" t="s">
        <v>14</v>
      </c>
      <c r="B20" s="79">
        <f>SUM('Příjmy a výdaje 2019'!B19:D19)</f>
        <v>-6691</v>
      </c>
      <c r="C20" s="79">
        <v>-6450</v>
      </c>
      <c r="D20" s="79">
        <f t="shared" si="2"/>
        <v>-241</v>
      </c>
    </row>
    <row r="21" spans="1:6" x14ac:dyDescent="0.25">
      <c r="A21" s="77" t="s">
        <v>18</v>
      </c>
      <c r="B21" s="79">
        <f>SUM('Příjmy a výdaje 2019'!B20:D20)</f>
        <v>-3949</v>
      </c>
      <c r="C21" s="79">
        <v>-4300</v>
      </c>
      <c r="D21" s="79">
        <f t="shared" si="2"/>
        <v>351</v>
      </c>
    </row>
    <row r="22" spans="1:6" x14ac:dyDescent="0.25">
      <c r="A22" s="77" t="s">
        <v>19</v>
      </c>
      <c r="B22" s="79">
        <f>SUM('Příjmy a výdaje 2019'!B23:D23)</f>
        <v>0</v>
      </c>
      <c r="C22" s="79">
        <v>0</v>
      </c>
      <c r="D22" s="79">
        <f t="shared" si="2"/>
        <v>0</v>
      </c>
    </row>
    <row r="23" spans="1:6" x14ac:dyDescent="0.25">
      <c r="A23" s="77" t="s">
        <v>20</v>
      </c>
      <c r="B23" s="79">
        <f>SUM('Příjmy a výdaje 2019'!B24:D24)</f>
        <v>-8284</v>
      </c>
      <c r="C23" s="79">
        <v>-7375</v>
      </c>
      <c r="D23" s="79">
        <f t="shared" si="2"/>
        <v>-909</v>
      </c>
    </row>
    <row r="24" spans="1:6" x14ac:dyDescent="0.25">
      <c r="A24" s="77" t="s">
        <v>29</v>
      </c>
      <c r="B24" s="79">
        <f>SUM('Příjmy a výdaje 2019'!B26:D26)</f>
        <v>-6629</v>
      </c>
      <c r="C24" s="79">
        <v>-7100</v>
      </c>
      <c r="D24" s="79">
        <f>B24-C24</f>
        <v>471</v>
      </c>
    </row>
    <row r="25" spans="1:6" x14ac:dyDescent="0.25">
      <c r="A25" s="77" t="s">
        <v>21</v>
      </c>
      <c r="B25" s="79">
        <f>SUM('Příjmy a výdaje 2019'!B32:D32)</f>
        <v>-27445</v>
      </c>
      <c r="C25" s="79">
        <v>-10000</v>
      </c>
      <c r="D25" s="79">
        <f>B25-C25</f>
        <v>-17445</v>
      </c>
    </row>
    <row r="26" spans="1:6" x14ac:dyDescent="0.25">
      <c r="A26" s="80" t="s">
        <v>22</v>
      </c>
      <c r="B26" s="82">
        <f>B15+B16</f>
        <v>35273.128581330006</v>
      </c>
      <c r="C26" s="82">
        <v>55075</v>
      </c>
      <c r="D26" s="82">
        <f>B26-C26</f>
        <v>-19801.871418669994</v>
      </c>
    </row>
    <row r="27" spans="1:6" x14ac:dyDescent="0.25">
      <c r="A27" s="77" t="s">
        <v>25</v>
      </c>
      <c r="B27" s="79">
        <v>-5394</v>
      </c>
      <c r="C27" s="79">
        <v>-5394</v>
      </c>
      <c r="D27" s="79">
        <v>0</v>
      </c>
      <c r="F27" s="20"/>
    </row>
    <row r="28" spans="1:6" x14ac:dyDescent="0.25">
      <c r="A28" s="77" t="s">
        <v>95</v>
      </c>
      <c r="B28" s="79">
        <v>-3000</v>
      </c>
      <c r="C28" s="79">
        <v>-3000</v>
      </c>
      <c r="D28" s="79">
        <f>B28-C28</f>
        <v>0</v>
      </c>
    </row>
    <row r="29" spans="1:6" x14ac:dyDescent="0.25">
      <c r="A29" s="80" t="s">
        <v>23</v>
      </c>
      <c r="B29" s="82">
        <f>B26+B27+B28</f>
        <v>26879.128581330006</v>
      </c>
      <c r="C29" s="82">
        <v>46681</v>
      </c>
      <c r="D29" s="82">
        <f>B29-C29</f>
        <v>-19801.871418669994</v>
      </c>
    </row>
    <row r="40" spans="3:8" x14ac:dyDescent="0.25">
      <c r="C40" s="20"/>
    </row>
    <row r="41" spans="3:8" x14ac:dyDescent="0.25">
      <c r="H41" s="24"/>
    </row>
  </sheetData>
  <pageMargins left="0.7" right="0.7" top="0.78740157499999996" bottom="0.78740157499999996" header="0.3" footer="0.3"/>
  <pageSetup paperSize="9" orientation="portrait" r:id="rId1"/>
  <ignoredErrors>
    <ignoredError sqref="B3:B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D311-79A9-46EA-8AF3-EFF7015F69A4}">
  <sheetPr codeName="List5"/>
  <dimension ref="A1:E34"/>
  <sheetViews>
    <sheetView workbookViewId="0">
      <selection activeCell="E19" sqref="E19"/>
    </sheetView>
  </sheetViews>
  <sheetFormatPr defaultColWidth="20.7109375" defaultRowHeight="15" x14ac:dyDescent="0.25"/>
  <cols>
    <col min="1" max="1" width="35.42578125" bestFit="1" customWidth="1"/>
  </cols>
  <sheetData>
    <row r="1" spans="1:5" x14ac:dyDescent="0.25">
      <c r="A1" s="21"/>
      <c r="B1" s="5" t="s">
        <v>33</v>
      </c>
      <c r="C1" s="5" t="s">
        <v>34</v>
      </c>
      <c r="D1" s="6" t="s">
        <v>35</v>
      </c>
    </row>
    <row r="2" spans="1:5" x14ac:dyDescent="0.25">
      <c r="A2" s="7" t="s">
        <v>0</v>
      </c>
      <c r="B2" s="2">
        <f>SUM(B3:B6)</f>
        <v>176619.63354323001</v>
      </c>
      <c r="C2" s="2">
        <v>177850</v>
      </c>
      <c r="D2" s="8">
        <f>B2-C2</f>
        <v>-1230.3664567699889</v>
      </c>
    </row>
    <row r="3" spans="1:5" x14ac:dyDescent="0.25">
      <c r="A3" s="9" t="s">
        <v>1</v>
      </c>
      <c r="B3" s="4">
        <f>SUM('Příjmy a výdaje 2019'!D3:F3)</f>
        <v>99000</v>
      </c>
      <c r="C3" s="4">
        <v>99000</v>
      </c>
      <c r="D3" s="8">
        <f t="shared" ref="D3:D6" si="0">B3-C3</f>
        <v>0</v>
      </c>
    </row>
    <row r="4" spans="1:5" x14ac:dyDescent="0.25">
      <c r="A4" s="9" t="s">
        <v>2</v>
      </c>
      <c r="B4" s="4">
        <v>0</v>
      </c>
      <c r="C4" s="4">
        <v>3500</v>
      </c>
      <c r="D4" s="8">
        <f t="shared" si="0"/>
        <v>-3500</v>
      </c>
    </row>
    <row r="5" spans="1:5" x14ac:dyDescent="0.25">
      <c r="A5" s="9" t="s">
        <v>3</v>
      </c>
      <c r="B5" s="4">
        <f>SUM('Příjmy a výdaje 2019'!E7:G7)</f>
        <v>77077</v>
      </c>
      <c r="C5" s="4">
        <v>75000</v>
      </c>
      <c r="D5" s="8">
        <f t="shared" si="0"/>
        <v>2077</v>
      </c>
    </row>
    <row r="6" spans="1:5" x14ac:dyDescent="0.25">
      <c r="A6" s="9" t="s">
        <v>4</v>
      </c>
      <c r="B6" s="4">
        <f>SUM('Příjmy a výdaje 2019'!E9:G9)</f>
        <v>542.63354322999999</v>
      </c>
      <c r="C6" s="4">
        <v>350</v>
      </c>
      <c r="D6" s="8">
        <f t="shared" si="0"/>
        <v>192.63354322999999</v>
      </c>
    </row>
    <row r="7" spans="1:5" ht="13.5" customHeight="1" x14ac:dyDescent="0.25">
      <c r="A7" s="7" t="s">
        <v>5</v>
      </c>
      <c r="B7" s="2">
        <f>SUM(B8:B14)</f>
        <v>-65100</v>
      </c>
      <c r="C7" s="2">
        <v>-65100</v>
      </c>
      <c r="D7" s="8">
        <f>B7-C7</f>
        <v>0</v>
      </c>
      <c r="E7" s="20"/>
    </row>
    <row r="8" spans="1:5" x14ac:dyDescent="0.25">
      <c r="A8" s="9" t="s">
        <v>6</v>
      </c>
      <c r="B8" s="4">
        <v>-18000</v>
      </c>
      <c r="C8" s="4">
        <v>-18000</v>
      </c>
      <c r="D8" s="10">
        <f t="shared" ref="D8:D14" si="1">B8-C8</f>
        <v>0</v>
      </c>
    </row>
    <row r="9" spans="1:5" x14ac:dyDescent="0.25">
      <c r="A9" s="9" t="s">
        <v>7</v>
      </c>
      <c r="B9" s="4">
        <v>0</v>
      </c>
      <c r="C9" s="4">
        <v>0</v>
      </c>
      <c r="D9" s="10">
        <f t="shared" si="1"/>
        <v>0</v>
      </c>
    </row>
    <row r="10" spans="1:5" x14ac:dyDescent="0.25">
      <c r="A10" s="9" t="s">
        <v>8</v>
      </c>
      <c r="B10" s="4">
        <v>-1500</v>
      </c>
      <c r="C10" s="4">
        <v>-1500</v>
      </c>
      <c r="D10" s="10">
        <f t="shared" si="1"/>
        <v>0</v>
      </c>
    </row>
    <row r="11" spans="1:5" x14ac:dyDescent="0.25">
      <c r="A11" s="9" t="s">
        <v>9</v>
      </c>
      <c r="B11" s="4">
        <v>-30000</v>
      </c>
      <c r="C11" s="4">
        <v>-30000</v>
      </c>
      <c r="D11" s="10">
        <f t="shared" si="1"/>
        <v>0</v>
      </c>
    </row>
    <row r="12" spans="1:5" x14ac:dyDescent="0.25">
      <c r="A12" s="9" t="s">
        <v>15</v>
      </c>
      <c r="B12" s="12">
        <v>-7200</v>
      </c>
      <c r="C12" s="12">
        <v>-7200</v>
      </c>
      <c r="D12" s="13">
        <f t="shared" si="1"/>
        <v>0</v>
      </c>
    </row>
    <row r="13" spans="1:5" x14ac:dyDescent="0.25">
      <c r="A13" s="9" t="s">
        <v>16</v>
      </c>
      <c r="B13" s="12">
        <v>-3600</v>
      </c>
      <c r="C13" s="12">
        <v>-3600</v>
      </c>
      <c r="D13" s="13">
        <f t="shared" si="1"/>
        <v>0</v>
      </c>
    </row>
    <row r="14" spans="1:5" x14ac:dyDescent="0.25">
      <c r="A14" s="9" t="s">
        <v>17</v>
      </c>
      <c r="B14" s="12">
        <v>-4800</v>
      </c>
      <c r="C14" s="12">
        <v>-4800</v>
      </c>
      <c r="D14" s="13">
        <f t="shared" si="1"/>
        <v>0</v>
      </c>
    </row>
    <row r="15" spans="1:5" x14ac:dyDescent="0.25">
      <c r="A15" s="7" t="s">
        <v>31</v>
      </c>
      <c r="B15" s="2">
        <f>B2+B7</f>
        <v>111519.63354323001</v>
      </c>
      <c r="C15" s="2">
        <v>112750</v>
      </c>
      <c r="D15" s="8">
        <f>B15-C15</f>
        <v>-1230.3664567699889</v>
      </c>
    </row>
    <row r="16" spans="1:5" x14ac:dyDescent="0.25">
      <c r="A16" s="7" t="s">
        <v>10</v>
      </c>
      <c r="B16" s="2">
        <f>SUM(B17:B25)</f>
        <v>-76415</v>
      </c>
      <c r="C16" s="2">
        <v>-74075</v>
      </c>
      <c r="D16" s="8">
        <f>B16-C16</f>
        <v>-2340</v>
      </c>
    </row>
    <row r="17" spans="1:4" x14ac:dyDescent="0.25">
      <c r="A17" s="9" t="s">
        <v>11</v>
      </c>
      <c r="B17" s="12">
        <f>SUM('Příjmy a výdaje 2019'!E12:G12)</f>
        <v>-5240</v>
      </c>
      <c r="C17" s="12">
        <v>-5325</v>
      </c>
      <c r="D17" s="13">
        <f>B17-C17</f>
        <v>85</v>
      </c>
    </row>
    <row r="18" spans="1:4" x14ac:dyDescent="0.25">
      <c r="A18" s="9" t="s">
        <v>12</v>
      </c>
      <c r="B18" s="12">
        <f>SUM('Příjmy a výdaje 2019'!E13:G13)</f>
        <v>-2243</v>
      </c>
      <c r="C18" s="12">
        <v>-2275</v>
      </c>
      <c r="D18" s="13">
        <f t="shared" ref="D18:D23" si="2">B18-C18</f>
        <v>32</v>
      </c>
    </row>
    <row r="19" spans="1:4" x14ac:dyDescent="0.25">
      <c r="A19" s="9" t="s">
        <v>13</v>
      </c>
      <c r="B19" s="12">
        <f>SUM('Příjmy a výdaje 2019'!E14:G14)</f>
        <v>-6299</v>
      </c>
      <c r="C19" s="12">
        <v>-6250</v>
      </c>
      <c r="D19" s="13">
        <f t="shared" si="2"/>
        <v>-49</v>
      </c>
    </row>
    <row r="20" spans="1:4" x14ac:dyDescent="0.25">
      <c r="A20" s="9" t="s">
        <v>14</v>
      </c>
      <c r="B20" s="12">
        <f>SUM('Příjmy a výdaje 2019'!E19:G19)</f>
        <v>-6377</v>
      </c>
      <c r="C20" s="12">
        <v>-6450</v>
      </c>
      <c r="D20" s="13">
        <f t="shared" si="2"/>
        <v>73</v>
      </c>
    </row>
    <row r="21" spans="1:4" x14ac:dyDescent="0.25">
      <c r="A21" s="9" t="s">
        <v>18</v>
      </c>
      <c r="B21" s="12">
        <f>SUM('Příjmy a výdaje 2019'!E20:G20)</f>
        <v>-4249</v>
      </c>
      <c r="C21" s="12">
        <v>-4300</v>
      </c>
      <c r="D21" s="13">
        <f t="shared" si="2"/>
        <v>51</v>
      </c>
    </row>
    <row r="22" spans="1:4" x14ac:dyDescent="0.25">
      <c r="A22" s="9" t="s">
        <v>19</v>
      </c>
      <c r="B22" s="12">
        <f>SUM('Příjmy a výdaje 2019'!E23:G23)</f>
        <v>-25000</v>
      </c>
      <c r="C22" s="12">
        <v>-25000</v>
      </c>
      <c r="D22" s="13">
        <f t="shared" si="2"/>
        <v>0</v>
      </c>
    </row>
    <row r="23" spans="1:4" x14ac:dyDescent="0.25">
      <c r="A23" s="9" t="s">
        <v>20</v>
      </c>
      <c r="B23" s="12">
        <f>SUM('Příjmy a výdaje 2019'!E24:G24)</f>
        <v>-8836</v>
      </c>
      <c r="C23" s="12">
        <v>-7375</v>
      </c>
      <c r="D23" s="13">
        <f t="shared" si="2"/>
        <v>-1461</v>
      </c>
    </row>
    <row r="24" spans="1:4" x14ac:dyDescent="0.25">
      <c r="A24" s="9" t="s">
        <v>29</v>
      </c>
      <c r="B24" s="12">
        <f>SUM('Příjmy a výdaje 2019'!E26:G26)</f>
        <v>-6068</v>
      </c>
      <c r="C24" s="12">
        <v>-7100</v>
      </c>
      <c r="D24" s="13">
        <f>B24-C24</f>
        <v>1032</v>
      </c>
    </row>
    <row r="25" spans="1:4" x14ac:dyDescent="0.25">
      <c r="A25" s="9" t="s">
        <v>21</v>
      </c>
      <c r="B25" s="12">
        <f>SUM('Příjmy a výdaje 2019'!E32:G32)</f>
        <v>-12103</v>
      </c>
      <c r="C25" s="12">
        <v>-10000</v>
      </c>
      <c r="D25" s="13">
        <f>B25-C25</f>
        <v>-2103</v>
      </c>
    </row>
    <row r="26" spans="1:4" x14ac:dyDescent="0.25">
      <c r="A26" s="7" t="s">
        <v>22</v>
      </c>
      <c r="B26" s="14">
        <f>B15+B16</f>
        <v>35104.633543230011</v>
      </c>
      <c r="C26" s="14">
        <v>38675</v>
      </c>
      <c r="D26" s="17">
        <f>B26-C26</f>
        <v>-3570.3664567699889</v>
      </c>
    </row>
    <row r="27" spans="1:4" x14ac:dyDescent="0.25">
      <c r="A27" s="9" t="s">
        <v>25</v>
      </c>
      <c r="B27" s="12">
        <v>-5394</v>
      </c>
      <c r="C27" s="15">
        <v>-5394</v>
      </c>
      <c r="D27" s="13">
        <v>0</v>
      </c>
    </row>
    <row r="28" spans="1:4" x14ac:dyDescent="0.25">
      <c r="A28" s="9" t="s">
        <v>95</v>
      </c>
      <c r="B28" s="12">
        <v>0</v>
      </c>
      <c r="C28" s="12">
        <v>0</v>
      </c>
      <c r="D28" s="13">
        <f>B28-C28</f>
        <v>0</v>
      </c>
    </row>
    <row r="29" spans="1:4" ht="15.75" thickBot="1" x14ac:dyDescent="0.3">
      <c r="A29" s="11" t="s">
        <v>23</v>
      </c>
      <c r="B29" s="16">
        <f>B26+B28+B27</f>
        <v>29710.633543230011</v>
      </c>
      <c r="C29" s="16">
        <v>33281</v>
      </c>
      <c r="D29" s="18">
        <f>B29-C29</f>
        <v>-3570.3664567699889</v>
      </c>
    </row>
    <row r="32" spans="1:4" x14ac:dyDescent="0.25">
      <c r="B32" s="20"/>
    </row>
    <row r="34" spans="2:3" x14ac:dyDescent="0.25">
      <c r="B34" s="20"/>
      <c r="C34" s="2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4CCC-4787-4CA5-80C2-57571DFDDD75}">
  <sheetPr codeName="List6"/>
  <dimension ref="A1:D38"/>
  <sheetViews>
    <sheetView workbookViewId="0">
      <selection activeCell="E51" sqref="A31:E51"/>
    </sheetView>
  </sheetViews>
  <sheetFormatPr defaultColWidth="20.7109375" defaultRowHeight="15" x14ac:dyDescent="0.25"/>
  <cols>
    <col min="1" max="1" width="35.42578125" bestFit="1" customWidth="1"/>
  </cols>
  <sheetData>
    <row r="1" spans="1:4" ht="15.75" customHeight="1" x14ac:dyDescent="0.25">
      <c r="A1" s="21"/>
      <c r="B1" s="5" t="s">
        <v>33</v>
      </c>
      <c r="C1" s="5" t="s">
        <v>34</v>
      </c>
      <c r="D1" s="6" t="s">
        <v>35</v>
      </c>
    </row>
    <row r="2" spans="1:4" x14ac:dyDescent="0.25">
      <c r="A2" s="7" t="s">
        <v>0</v>
      </c>
      <c r="B2" s="2">
        <f>SUM(B3:B6)</f>
        <v>114177.38460169917</v>
      </c>
      <c r="C2" s="2">
        <v>117517</v>
      </c>
      <c r="D2" s="8">
        <f>B2-C2</f>
        <v>-3339.6153983008262</v>
      </c>
    </row>
    <row r="3" spans="1:4" x14ac:dyDescent="0.25">
      <c r="A3" s="9" t="s">
        <v>1</v>
      </c>
      <c r="B3" s="4">
        <f>SUM('Příjmy a výdaje 2019'!H3:J3)</f>
        <v>99000</v>
      </c>
      <c r="C3" s="4">
        <v>99000</v>
      </c>
      <c r="D3" s="8">
        <f t="shared" ref="D3:D6" si="0">B3-C3</f>
        <v>0</v>
      </c>
    </row>
    <row r="4" spans="1:4" x14ac:dyDescent="0.25">
      <c r="A4" s="9" t="s">
        <v>2</v>
      </c>
      <c r="B4" s="4">
        <v>0</v>
      </c>
      <c r="C4" s="4">
        <v>3500</v>
      </c>
      <c r="D4" s="8">
        <f t="shared" si="0"/>
        <v>-3500</v>
      </c>
    </row>
    <row r="5" spans="1:4" x14ac:dyDescent="0.25">
      <c r="A5" s="9" t="s">
        <v>3</v>
      </c>
      <c r="B5" s="4">
        <f>SUM('Příjmy a výdaje 2019'!H7:J7)</f>
        <v>14666.666666666666</v>
      </c>
      <c r="C5" s="4">
        <v>14667</v>
      </c>
      <c r="D5" s="8">
        <f t="shared" si="0"/>
        <v>-0.33333333333393966</v>
      </c>
    </row>
    <row r="6" spans="1:4" x14ac:dyDescent="0.25">
      <c r="A6" s="9" t="s">
        <v>4</v>
      </c>
      <c r="B6" s="4">
        <f>SUM('Příjmy a výdaje 2019'!H9:J9)</f>
        <v>510.71793503249989</v>
      </c>
      <c r="C6" s="4">
        <v>350</v>
      </c>
      <c r="D6" s="8">
        <f t="shared" si="0"/>
        <v>160.71793503249989</v>
      </c>
    </row>
    <row r="7" spans="1:4" ht="13.5" customHeight="1" x14ac:dyDescent="0.25">
      <c r="A7" s="7" t="s">
        <v>5</v>
      </c>
      <c r="B7" s="2">
        <f>SUM(B8:B14)</f>
        <v>-65400</v>
      </c>
      <c r="C7" s="2">
        <v>-65400</v>
      </c>
      <c r="D7" s="8">
        <f>B7-C7</f>
        <v>0</v>
      </c>
    </row>
    <row r="8" spans="1:4" x14ac:dyDescent="0.25">
      <c r="A8" s="9" t="s">
        <v>6</v>
      </c>
      <c r="B8" s="4">
        <v>-18000</v>
      </c>
      <c r="C8" s="4">
        <v>-18000</v>
      </c>
      <c r="D8" s="10">
        <f t="shared" ref="D8:D14" si="1">B8-C8</f>
        <v>0</v>
      </c>
    </row>
    <row r="9" spans="1:4" x14ac:dyDescent="0.25">
      <c r="A9" s="9" t="s">
        <v>7</v>
      </c>
      <c r="B9" s="4">
        <v>0</v>
      </c>
      <c r="C9" s="4">
        <v>0</v>
      </c>
      <c r="D9" s="10">
        <f t="shared" si="1"/>
        <v>0</v>
      </c>
    </row>
    <row r="10" spans="1:4" x14ac:dyDescent="0.25">
      <c r="A10" s="9" t="s">
        <v>8</v>
      </c>
      <c r="B10" s="4">
        <v>-1500</v>
      </c>
      <c r="C10" s="4">
        <v>-1500</v>
      </c>
      <c r="D10" s="10">
        <f t="shared" si="1"/>
        <v>0</v>
      </c>
    </row>
    <row r="11" spans="1:4" x14ac:dyDescent="0.25">
      <c r="A11" s="9" t="s">
        <v>9</v>
      </c>
      <c r="B11" s="4">
        <v>-30000</v>
      </c>
      <c r="C11" s="4">
        <v>-30000</v>
      </c>
      <c r="D11" s="10">
        <f t="shared" si="1"/>
        <v>0</v>
      </c>
    </row>
    <row r="12" spans="1:4" x14ac:dyDescent="0.25">
      <c r="A12" s="9" t="s">
        <v>15</v>
      </c>
      <c r="B12" s="12">
        <v>-7200</v>
      </c>
      <c r="C12" s="12">
        <v>-7200</v>
      </c>
      <c r="D12" s="13">
        <f t="shared" si="1"/>
        <v>0</v>
      </c>
    </row>
    <row r="13" spans="1:4" x14ac:dyDescent="0.25">
      <c r="A13" s="9" t="s">
        <v>16</v>
      </c>
      <c r="B13" s="12">
        <v>-3900</v>
      </c>
      <c r="C13" s="12">
        <v>-3900</v>
      </c>
      <c r="D13" s="13">
        <f t="shared" si="1"/>
        <v>0</v>
      </c>
    </row>
    <row r="14" spans="1:4" x14ac:dyDescent="0.25">
      <c r="A14" s="9" t="s">
        <v>17</v>
      </c>
      <c r="B14" s="12">
        <v>-4800</v>
      </c>
      <c r="C14" s="12">
        <v>-4800</v>
      </c>
      <c r="D14" s="13">
        <f t="shared" si="1"/>
        <v>0</v>
      </c>
    </row>
    <row r="15" spans="1:4" x14ac:dyDescent="0.25">
      <c r="A15" s="7" t="s">
        <v>31</v>
      </c>
      <c r="B15" s="2">
        <f>B2+B7</f>
        <v>48777.384601699174</v>
      </c>
      <c r="C15" s="2">
        <v>52117</v>
      </c>
      <c r="D15" s="8">
        <f>B15-C15</f>
        <v>-3339.6153983008262</v>
      </c>
    </row>
    <row r="16" spans="1:4" x14ac:dyDescent="0.25">
      <c r="A16" s="7" t="s">
        <v>10</v>
      </c>
      <c r="B16" s="2">
        <f>SUM(B17:B25)</f>
        <v>-51337</v>
      </c>
      <c r="C16" s="2">
        <v>-49075</v>
      </c>
      <c r="D16" s="8">
        <f>B16-C16</f>
        <v>-2262</v>
      </c>
    </row>
    <row r="17" spans="1:4" x14ac:dyDescent="0.25">
      <c r="A17" s="9" t="s">
        <v>11</v>
      </c>
      <c r="B17" s="12">
        <f>SUM('Příjmy a výdaje 2019'!H12:J12)</f>
        <v>-5335</v>
      </c>
      <c r="C17" s="12">
        <v>-5325</v>
      </c>
      <c r="D17" s="13">
        <f>B17-C17</f>
        <v>-10</v>
      </c>
    </row>
    <row r="18" spans="1:4" x14ac:dyDescent="0.25">
      <c r="A18" s="9" t="s">
        <v>12</v>
      </c>
      <c r="B18" s="12">
        <f>SUM('Příjmy a výdaje 2019'!H13:J13)</f>
        <v>-2180</v>
      </c>
      <c r="C18" s="12">
        <v>-2275</v>
      </c>
      <c r="D18" s="13">
        <f t="shared" ref="D18:D23" si="2">B18-C18</f>
        <v>95</v>
      </c>
    </row>
    <row r="19" spans="1:4" x14ac:dyDescent="0.25">
      <c r="A19" s="9" t="s">
        <v>13</v>
      </c>
      <c r="B19" s="12">
        <f>SUM('Příjmy a výdaje 2019'!H14:J14)</f>
        <v>-6339</v>
      </c>
      <c r="C19" s="12">
        <v>-6250</v>
      </c>
      <c r="D19" s="13">
        <f t="shared" si="2"/>
        <v>-89</v>
      </c>
    </row>
    <row r="20" spans="1:4" x14ac:dyDescent="0.25">
      <c r="A20" s="9" t="s">
        <v>14</v>
      </c>
      <c r="B20" s="12">
        <f>SUM('Příjmy a výdaje 2019'!H19:J19)</f>
        <v>-6275</v>
      </c>
      <c r="C20" s="12">
        <v>-6450</v>
      </c>
      <c r="D20" s="13">
        <f t="shared" si="2"/>
        <v>175</v>
      </c>
    </row>
    <row r="21" spans="1:4" x14ac:dyDescent="0.25">
      <c r="A21" s="9" t="s">
        <v>18</v>
      </c>
      <c r="B21" s="12">
        <f>SUM('Příjmy a výdaje 2019'!H20:J20)</f>
        <v>-3938</v>
      </c>
      <c r="C21" s="12">
        <v>-4300</v>
      </c>
      <c r="D21" s="13">
        <f t="shared" si="2"/>
        <v>362</v>
      </c>
    </row>
    <row r="22" spans="1:4" x14ac:dyDescent="0.25">
      <c r="A22" s="9" t="s">
        <v>19</v>
      </c>
      <c r="B22" s="12">
        <f>SUM('Příjmy a výdaje 2019'!H23:J23)</f>
        <v>0</v>
      </c>
      <c r="C22" s="12">
        <v>0</v>
      </c>
      <c r="D22" s="13">
        <f t="shared" si="2"/>
        <v>0</v>
      </c>
    </row>
    <row r="23" spans="1:4" x14ac:dyDescent="0.25">
      <c r="A23" s="9" t="s">
        <v>20</v>
      </c>
      <c r="B23" s="12">
        <f>SUM('Příjmy a výdaje 2019'!H24:J24)</f>
        <v>-9118</v>
      </c>
      <c r="C23" s="12">
        <v>-7375</v>
      </c>
      <c r="D23" s="13">
        <f t="shared" si="2"/>
        <v>-1743</v>
      </c>
    </row>
    <row r="24" spans="1:4" x14ac:dyDescent="0.25">
      <c r="A24" s="9" t="s">
        <v>29</v>
      </c>
      <c r="B24" s="12">
        <f>SUM('Příjmy a výdaje 2019'!H26:J26)</f>
        <v>-6460</v>
      </c>
      <c r="C24" s="12">
        <v>-7100</v>
      </c>
      <c r="D24" s="13">
        <f>B24-C24</f>
        <v>640</v>
      </c>
    </row>
    <row r="25" spans="1:4" x14ac:dyDescent="0.25">
      <c r="A25" s="9" t="s">
        <v>21</v>
      </c>
      <c r="B25" s="12">
        <f>SUM('Příjmy a výdaje 2019'!H32:J32)</f>
        <v>-11692</v>
      </c>
      <c r="C25" s="12">
        <v>-10000</v>
      </c>
      <c r="D25" s="13">
        <f>B25-C25</f>
        <v>-1692</v>
      </c>
    </row>
    <row r="26" spans="1:4" x14ac:dyDescent="0.25">
      <c r="A26" s="7" t="s">
        <v>22</v>
      </c>
      <c r="B26" s="14">
        <f>B15+B16</f>
        <v>-2559.6153983008262</v>
      </c>
      <c r="C26" s="14">
        <v>3042</v>
      </c>
      <c r="D26" s="17">
        <f>B26-C26</f>
        <v>-5601.6153983008262</v>
      </c>
    </row>
    <row r="27" spans="1:4" x14ac:dyDescent="0.25">
      <c r="A27" s="9" t="s">
        <v>25</v>
      </c>
      <c r="B27" s="12">
        <v>-5394</v>
      </c>
      <c r="C27" s="15">
        <v>-5394</v>
      </c>
      <c r="D27" s="13">
        <v>0</v>
      </c>
    </row>
    <row r="28" spans="1:4" x14ac:dyDescent="0.25">
      <c r="A28" s="9" t="s">
        <v>95</v>
      </c>
      <c r="B28" s="12">
        <v>0</v>
      </c>
      <c r="C28" s="12">
        <v>0</v>
      </c>
      <c r="D28" s="13">
        <f>B28-C28</f>
        <v>0</v>
      </c>
    </row>
    <row r="29" spans="1:4" ht="15.75" thickBot="1" x14ac:dyDescent="0.3">
      <c r="A29" s="11" t="s">
        <v>23</v>
      </c>
      <c r="B29" s="16">
        <f>B26+B27</f>
        <v>-7953.6153983008262</v>
      </c>
      <c r="C29" s="19">
        <v>-2352</v>
      </c>
      <c r="D29" s="18">
        <f>B29-C29</f>
        <v>-5601.6153983008262</v>
      </c>
    </row>
    <row r="32" spans="1:4" x14ac:dyDescent="0.25">
      <c r="B32" s="20"/>
    </row>
    <row r="34" spans="2:3" x14ac:dyDescent="0.25">
      <c r="B34" s="20"/>
      <c r="C34" s="20"/>
    </row>
    <row r="38" spans="2:3" x14ac:dyDescent="0.25">
      <c r="C38" s="2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C63E-034E-4E22-908B-12A3A2BC2ABF}">
  <sheetPr codeName="List8"/>
  <dimension ref="A1:D34"/>
  <sheetViews>
    <sheetView zoomScale="115" zoomScaleNormal="115" workbookViewId="0">
      <selection activeCell="E51" sqref="A31:E51"/>
    </sheetView>
  </sheetViews>
  <sheetFormatPr defaultColWidth="20.7109375" defaultRowHeight="15" x14ac:dyDescent="0.25"/>
  <cols>
    <col min="1" max="1" width="35.42578125" bestFit="1" customWidth="1"/>
  </cols>
  <sheetData>
    <row r="1" spans="1:4" x14ac:dyDescent="0.25">
      <c r="A1" s="21"/>
      <c r="B1" s="5" t="s">
        <v>33</v>
      </c>
      <c r="C1" s="5" t="s">
        <v>34</v>
      </c>
      <c r="D1" s="6" t="s">
        <v>35</v>
      </c>
    </row>
    <row r="2" spans="1:4" x14ac:dyDescent="0.25">
      <c r="A2" s="7" t="s">
        <v>0</v>
      </c>
      <c r="B2" s="2">
        <f>SUM(B3:B6)</f>
        <v>115726.74417914168</v>
      </c>
      <c r="C2" s="2">
        <v>117517</v>
      </c>
      <c r="D2" s="8">
        <f>B2-C2</f>
        <v>-1790.2558208583214</v>
      </c>
    </row>
    <row r="3" spans="1:4" x14ac:dyDescent="0.25">
      <c r="A3" s="9" t="s">
        <v>1</v>
      </c>
      <c r="B3" s="4">
        <f>SUM('Příjmy a výdaje 2019'!K3:M3)</f>
        <v>99000</v>
      </c>
      <c r="C3" s="4">
        <v>99000</v>
      </c>
      <c r="D3" s="8">
        <f t="shared" ref="D3:D6" si="0">B3-C3</f>
        <v>0</v>
      </c>
    </row>
    <row r="4" spans="1:4" x14ac:dyDescent="0.25">
      <c r="A4" s="9" t="s">
        <v>2</v>
      </c>
      <c r="B4" s="4">
        <v>1620</v>
      </c>
      <c r="C4" s="4">
        <v>3500</v>
      </c>
      <c r="D4" s="8">
        <f t="shared" si="0"/>
        <v>-1880</v>
      </c>
    </row>
    <row r="5" spans="1:4" x14ac:dyDescent="0.25">
      <c r="A5" s="9" t="s">
        <v>3</v>
      </c>
      <c r="B5" s="4">
        <f>SUM('Příjmy a výdaje 2019'!K7:M7)</f>
        <v>14666.666666666666</v>
      </c>
      <c r="C5" s="4">
        <v>14667</v>
      </c>
      <c r="D5" s="8">
        <f t="shared" si="0"/>
        <v>-0.33333333333393966</v>
      </c>
    </row>
    <row r="6" spans="1:4" x14ac:dyDescent="0.25">
      <c r="A6" s="9" t="s">
        <v>4</v>
      </c>
      <c r="B6" s="4">
        <f>SUM('Příjmy a výdaje 2019'!K9:M9)</f>
        <v>440.07751247499999</v>
      </c>
      <c r="C6" s="4">
        <v>350</v>
      </c>
      <c r="D6" s="8">
        <f t="shared" si="0"/>
        <v>90.077512474999992</v>
      </c>
    </row>
    <row r="7" spans="1:4" ht="13.5" customHeight="1" x14ac:dyDescent="0.25">
      <c r="A7" s="7" t="s">
        <v>5</v>
      </c>
      <c r="B7" s="2">
        <f>SUM(B8:B14)</f>
        <v>-66600</v>
      </c>
      <c r="C7" s="2">
        <v>-66600</v>
      </c>
      <c r="D7" s="8">
        <f>B7-C7</f>
        <v>0</v>
      </c>
    </row>
    <row r="8" spans="1:4" x14ac:dyDescent="0.25">
      <c r="A8" s="9" t="s">
        <v>6</v>
      </c>
      <c r="B8" s="4">
        <v>-18000</v>
      </c>
      <c r="C8" s="4">
        <v>-18000</v>
      </c>
      <c r="D8" s="10">
        <f t="shared" ref="D8:D14" si="1">B8-C8</f>
        <v>0</v>
      </c>
    </row>
    <row r="9" spans="1:4" x14ac:dyDescent="0.25">
      <c r="A9" s="9" t="s">
        <v>7</v>
      </c>
      <c r="B9" s="4">
        <v>0</v>
      </c>
      <c r="C9" s="4">
        <v>0</v>
      </c>
      <c r="D9" s="10">
        <f t="shared" si="1"/>
        <v>0</v>
      </c>
    </row>
    <row r="10" spans="1:4" x14ac:dyDescent="0.25">
      <c r="A10" s="9" t="s">
        <v>8</v>
      </c>
      <c r="B10" s="4">
        <v>-1500</v>
      </c>
      <c r="C10" s="4">
        <v>-1500</v>
      </c>
      <c r="D10" s="10">
        <f t="shared" si="1"/>
        <v>0</v>
      </c>
    </row>
    <row r="11" spans="1:4" x14ac:dyDescent="0.25">
      <c r="A11" s="9" t="s">
        <v>9</v>
      </c>
      <c r="B11" s="4">
        <v>-30000</v>
      </c>
      <c r="C11" s="4">
        <v>-30000</v>
      </c>
      <c r="D11" s="10">
        <f t="shared" si="1"/>
        <v>0</v>
      </c>
    </row>
    <row r="12" spans="1:4" x14ac:dyDescent="0.25">
      <c r="A12" s="9" t="s">
        <v>15</v>
      </c>
      <c r="B12" s="12">
        <f>SUM('Příjmy a výdaje 2019'!K28:M28)</f>
        <v>-7200</v>
      </c>
      <c r="C12" s="12">
        <v>-7200</v>
      </c>
      <c r="D12" s="13">
        <f t="shared" si="1"/>
        <v>0</v>
      </c>
    </row>
    <row r="13" spans="1:4" x14ac:dyDescent="0.25">
      <c r="A13" s="9" t="s">
        <v>16</v>
      </c>
      <c r="B13" s="12">
        <f>SUM('Příjmy a výdaje 2019'!K29:M29)</f>
        <v>-5100</v>
      </c>
      <c r="C13" s="12">
        <v>-5100</v>
      </c>
      <c r="D13" s="13">
        <f t="shared" si="1"/>
        <v>0</v>
      </c>
    </row>
    <row r="14" spans="1:4" x14ac:dyDescent="0.25">
      <c r="A14" s="9" t="s">
        <v>17</v>
      </c>
      <c r="B14" s="12">
        <f>SUM('Příjmy a výdaje 2019'!K30:M30)</f>
        <v>-4800</v>
      </c>
      <c r="C14" s="12">
        <v>-4800</v>
      </c>
      <c r="D14" s="13">
        <f t="shared" si="1"/>
        <v>0</v>
      </c>
    </row>
    <row r="15" spans="1:4" x14ac:dyDescent="0.25">
      <c r="A15" s="7" t="s">
        <v>31</v>
      </c>
      <c r="B15" s="2">
        <f>B2+B7</f>
        <v>49126.744179141679</v>
      </c>
      <c r="C15" s="2">
        <v>50917</v>
      </c>
      <c r="D15" s="8">
        <f>B15-C15</f>
        <v>-1790.2558208583214</v>
      </c>
    </row>
    <row r="16" spans="1:4" x14ac:dyDescent="0.25">
      <c r="A16" s="7" t="s">
        <v>10</v>
      </c>
      <c r="B16" s="2">
        <f>SUM(B17:B25)</f>
        <v>-85389</v>
      </c>
      <c r="C16" s="2">
        <v>-74075</v>
      </c>
      <c r="D16" s="8">
        <f>B16-C16</f>
        <v>-11314</v>
      </c>
    </row>
    <row r="17" spans="1:4" x14ac:dyDescent="0.25">
      <c r="A17" s="9" t="s">
        <v>11</v>
      </c>
      <c r="B17" s="12">
        <f>SUM('Příjmy a výdaje 2019'!K12:M12)</f>
        <v>-5240</v>
      </c>
      <c r="C17" s="12">
        <v>-5325</v>
      </c>
      <c r="D17" s="13">
        <f>B17-C17</f>
        <v>85</v>
      </c>
    </row>
    <row r="18" spans="1:4" x14ac:dyDescent="0.25">
      <c r="A18" s="9" t="s">
        <v>12</v>
      </c>
      <c r="B18" s="12">
        <f>SUM('Příjmy a výdaje 2019'!K13:M13)</f>
        <v>-2227</v>
      </c>
      <c r="C18" s="12">
        <v>-2275</v>
      </c>
      <c r="D18" s="13">
        <f t="shared" ref="D18:D23" si="2">B18-C18</f>
        <v>48</v>
      </c>
    </row>
    <row r="19" spans="1:4" x14ac:dyDescent="0.25">
      <c r="A19" s="9" t="s">
        <v>13</v>
      </c>
      <c r="B19" s="12">
        <f>SUM('Příjmy a výdaje 2019'!K14:M14)</f>
        <v>-6370</v>
      </c>
      <c r="C19" s="12">
        <v>-6250</v>
      </c>
      <c r="D19" s="13">
        <f t="shared" si="2"/>
        <v>-120</v>
      </c>
    </row>
    <row r="20" spans="1:4" x14ac:dyDescent="0.25">
      <c r="A20" s="9" t="s">
        <v>14</v>
      </c>
      <c r="B20" s="12">
        <f>SUM('Příjmy a výdaje 2019'!K19:M19)</f>
        <v>-6220</v>
      </c>
      <c r="C20" s="12">
        <v>-6450</v>
      </c>
      <c r="D20" s="13">
        <f t="shared" si="2"/>
        <v>230</v>
      </c>
    </row>
    <row r="21" spans="1:4" x14ac:dyDescent="0.25">
      <c r="A21" s="9" t="s">
        <v>18</v>
      </c>
      <c r="B21" s="12">
        <f>SUM('Příjmy a výdaje 2019'!K20:M20)</f>
        <v>-4003</v>
      </c>
      <c r="C21" s="12">
        <v>-4300</v>
      </c>
      <c r="D21" s="13">
        <f t="shared" si="2"/>
        <v>297</v>
      </c>
    </row>
    <row r="22" spans="1:4" x14ac:dyDescent="0.25">
      <c r="A22" s="9" t="s">
        <v>19</v>
      </c>
      <c r="B22" s="12">
        <f>SUM('Příjmy a výdaje 2019'!K23:M23)</f>
        <v>-27000</v>
      </c>
      <c r="C22" s="12">
        <v>-25000</v>
      </c>
      <c r="D22" s="13">
        <f t="shared" si="2"/>
        <v>-2000</v>
      </c>
    </row>
    <row r="23" spans="1:4" x14ac:dyDescent="0.25">
      <c r="A23" s="9" t="s">
        <v>20</v>
      </c>
      <c r="B23" s="12">
        <f>SUM('Příjmy a výdaje 2019'!K24:M24)</f>
        <v>-8154</v>
      </c>
      <c r="C23" s="12">
        <v>-7375</v>
      </c>
      <c r="D23" s="13">
        <f t="shared" si="2"/>
        <v>-779</v>
      </c>
    </row>
    <row r="24" spans="1:4" x14ac:dyDescent="0.25">
      <c r="A24" s="9" t="s">
        <v>29</v>
      </c>
      <c r="B24" s="12">
        <f>SUM('Příjmy a výdaje 2019'!K26:M26)</f>
        <v>-13808</v>
      </c>
      <c r="C24" s="12">
        <v>-7100</v>
      </c>
      <c r="D24" s="13">
        <f>B24-C24</f>
        <v>-6708</v>
      </c>
    </row>
    <row r="25" spans="1:4" x14ac:dyDescent="0.25">
      <c r="A25" s="9" t="s">
        <v>21</v>
      </c>
      <c r="B25" s="12">
        <f>SUM('Příjmy a výdaje 2019'!K32:M32)</f>
        <v>-12367</v>
      </c>
      <c r="C25" s="12">
        <v>-10000</v>
      </c>
      <c r="D25" s="13">
        <f>B25-C25</f>
        <v>-2367</v>
      </c>
    </row>
    <row r="26" spans="1:4" x14ac:dyDescent="0.25">
      <c r="A26" s="7" t="s">
        <v>22</v>
      </c>
      <c r="B26" s="14">
        <f>B15+B16</f>
        <v>-36262.255820858321</v>
      </c>
      <c r="C26" s="14">
        <v>-23158</v>
      </c>
      <c r="D26" s="17">
        <f>B26-C26</f>
        <v>-13104.255820858321</v>
      </c>
    </row>
    <row r="27" spans="1:4" x14ac:dyDescent="0.25">
      <c r="A27" s="9" t="s">
        <v>25</v>
      </c>
      <c r="B27" s="12">
        <v>-5394</v>
      </c>
      <c r="C27" s="12">
        <v>-5394</v>
      </c>
      <c r="D27" s="13">
        <v>0</v>
      </c>
    </row>
    <row r="28" spans="1:4" x14ac:dyDescent="0.25">
      <c r="A28" s="9" t="s">
        <v>95</v>
      </c>
      <c r="B28" s="12">
        <v>0</v>
      </c>
      <c r="C28" s="12">
        <v>0</v>
      </c>
      <c r="D28" s="13">
        <f>B28-C28</f>
        <v>0</v>
      </c>
    </row>
    <row r="29" spans="1:4" ht="15.75" thickBot="1" x14ac:dyDescent="0.3">
      <c r="A29" s="11" t="s">
        <v>23</v>
      </c>
      <c r="B29" s="16">
        <f>B26+B27</f>
        <v>-41656.255820858321</v>
      </c>
      <c r="C29" s="16">
        <v>-28552</v>
      </c>
      <c r="D29" s="18">
        <f>B29-C29</f>
        <v>-13104.255820858321</v>
      </c>
    </row>
    <row r="32" spans="1:4" x14ac:dyDescent="0.25">
      <c r="B32" s="20"/>
    </row>
    <row r="34" spans="2:2" x14ac:dyDescent="0.25">
      <c r="B34" s="2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5FCF-3EFC-4241-ADE7-ECFAAF8BAC4D}">
  <dimension ref="A1:M31"/>
  <sheetViews>
    <sheetView workbookViewId="0">
      <selection activeCell="K23" sqref="K23"/>
    </sheetView>
  </sheetViews>
  <sheetFormatPr defaultRowHeight="15" x14ac:dyDescent="0.25"/>
  <cols>
    <col min="1" max="1" width="35.140625" bestFit="1" customWidth="1"/>
    <col min="2" max="2" width="10.7109375" bestFit="1" customWidth="1"/>
    <col min="4" max="4" width="10.42578125" bestFit="1" customWidth="1"/>
  </cols>
  <sheetData>
    <row r="1" spans="1:13" x14ac:dyDescent="0.25">
      <c r="A1" s="3" t="s">
        <v>38</v>
      </c>
      <c r="B1" s="3" t="s">
        <v>26</v>
      </c>
      <c r="C1" s="3" t="s">
        <v>27</v>
      </c>
      <c r="D1" s="3" t="s">
        <v>36</v>
      </c>
      <c r="E1" s="3" t="s">
        <v>28</v>
      </c>
      <c r="F1" s="129" t="s">
        <v>30</v>
      </c>
      <c r="G1" s="129" t="s">
        <v>37</v>
      </c>
      <c r="M1" s="1"/>
    </row>
    <row r="2" spans="1:13" x14ac:dyDescent="0.25">
      <c r="A2" s="130" t="s">
        <v>0</v>
      </c>
      <c r="B2" s="2">
        <f>SUM(B3:B6)</f>
        <v>175770.12858133001</v>
      </c>
      <c r="C2" s="2">
        <f t="shared" ref="C2" si="0">SUM(C3:C6)</f>
        <v>176619.63354323001</v>
      </c>
      <c r="D2" s="2">
        <f>III!B2</f>
        <v>114177.38460169917</v>
      </c>
      <c r="E2" s="2">
        <f>IV!B2</f>
        <v>115726.74417914168</v>
      </c>
      <c r="F2" s="131">
        <f>SUM(B2:E2)</f>
        <v>582293.89090540085</v>
      </c>
      <c r="G2" s="131">
        <f t="shared" ref="G2:G25" si="1">F2/12</f>
        <v>48524.490908783402</v>
      </c>
      <c r="M2" s="1"/>
    </row>
    <row r="3" spans="1:13" x14ac:dyDescent="0.25">
      <c r="A3" s="3" t="s">
        <v>1</v>
      </c>
      <c r="B3" s="4">
        <f>I!B3</f>
        <v>99000</v>
      </c>
      <c r="C3" s="4">
        <f>II!B3</f>
        <v>99000</v>
      </c>
      <c r="D3" s="4">
        <f>III!B3</f>
        <v>99000</v>
      </c>
      <c r="E3" s="4">
        <f>IV!B3</f>
        <v>99000</v>
      </c>
      <c r="F3" s="44">
        <f t="shared" ref="F3:F23" si="2">SUM(B3:E3)</f>
        <v>396000</v>
      </c>
      <c r="G3" s="44">
        <f t="shared" si="1"/>
        <v>33000</v>
      </c>
      <c r="M3" s="1"/>
    </row>
    <row r="4" spans="1:13" x14ac:dyDescent="0.25">
      <c r="A4" s="3" t="s">
        <v>2</v>
      </c>
      <c r="B4" s="4">
        <f>I!B4</f>
        <v>0</v>
      </c>
      <c r="C4" s="4">
        <f>II!B4</f>
        <v>0</v>
      </c>
      <c r="D4" s="4">
        <f>III!B4</f>
        <v>0</v>
      </c>
      <c r="E4" s="4">
        <f>IV!B4</f>
        <v>1620</v>
      </c>
      <c r="F4" s="44">
        <f t="shared" si="2"/>
        <v>1620</v>
      </c>
      <c r="G4" s="44">
        <f t="shared" si="1"/>
        <v>135</v>
      </c>
      <c r="M4" s="1"/>
    </row>
    <row r="5" spans="1:13" x14ac:dyDescent="0.25">
      <c r="A5" s="3" t="s">
        <v>3</v>
      </c>
      <c r="B5" s="4">
        <f>I!B5</f>
        <v>76230</v>
      </c>
      <c r="C5" s="4">
        <f>II!B5</f>
        <v>77077</v>
      </c>
      <c r="D5" s="4">
        <f>III!B5</f>
        <v>14666.666666666666</v>
      </c>
      <c r="E5" s="4">
        <f>IV!B5</f>
        <v>14666.666666666666</v>
      </c>
      <c r="F5" s="44">
        <f t="shared" si="2"/>
        <v>182640.33333333331</v>
      </c>
      <c r="G5" s="44">
        <f t="shared" si="1"/>
        <v>15220.027777777776</v>
      </c>
      <c r="M5" s="1"/>
    </row>
    <row r="6" spans="1:13" x14ac:dyDescent="0.25">
      <c r="A6" s="3" t="s">
        <v>4</v>
      </c>
      <c r="B6" s="4">
        <f>I!B6</f>
        <v>540.12858132999997</v>
      </c>
      <c r="C6" s="4">
        <f>II!B6</f>
        <v>542.63354322999999</v>
      </c>
      <c r="D6" s="4">
        <f>III!B6</f>
        <v>510.71793503249989</v>
      </c>
      <c r="E6" s="4">
        <f>IV!B6</f>
        <v>440.07751247499999</v>
      </c>
      <c r="F6" s="44">
        <f t="shared" si="2"/>
        <v>2033.5575720674999</v>
      </c>
      <c r="G6" s="44">
        <f t="shared" si="1"/>
        <v>169.463131005625</v>
      </c>
      <c r="M6" s="1"/>
    </row>
    <row r="7" spans="1:13" x14ac:dyDescent="0.25">
      <c r="A7" s="130" t="s">
        <v>5</v>
      </c>
      <c r="B7" s="2">
        <f>SUM(B8:B14)</f>
        <v>-73700</v>
      </c>
      <c r="C7" s="2">
        <f t="shared" ref="C7" si="3">SUM(C8:C14)</f>
        <v>-65100</v>
      </c>
      <c r="D7" s="2">
        <f>III!B7</f>
        <v>-65400</v>
      </c>
      <c r="E7" s="2">
        <f>IV!B7</f>
        <v>-66600</v>
      </c>
      <c r="F7" s="131">
        <f>SUM(B7:E7)</f>
        <v>-270800</v>
      </c>
      <c r="G7" s="131">
        <f t="shared" si="1"/>
        <v>-22566.666666666668</v>
      </c>
      <c r="M7" s="1"/>
    </row>
    <row r="8" spans="1:13" x14ac:dyDescent="0.25">
      <c r="A8" s="3" t="s">
        <v>6</v>
      </c>
      <c r="B8" s="4">
        <f>I!B8</f>
        <v>-18000</v>
      </c>
      <c r="C8" s="4">
        <f>II!B8</f>
        <v>-18000</v>
      </c>
      <c r="D8" s="4">
        <f>III!B8</f>
        <v>-18000</v>
      </c>
      <c r="E8" s="4">
        <f>IV!B8</f>
        <v>-18000</v>
      </c>
      <c r="F8" s="44">
        <f t="shared" si="2"/>
        <v>-72000</v>
      </c>
      <c r="G8" s="44">
        <f t="shared" si="1"/>
        <v>-6000</v>
      </c>
      <c r="M8" s="1"/>
    </row>
    <row r="9" spans="1:13" x14ac:dyDescent="0.25">
      <c r="A9" s="3" t="s">
        <v>7</v>
      </c>
      <c r="B9" s="4">
        <f>I!B9</f>
        <v>-7300</v>
      </c>
      <c r="C9" s="4">
        <f>II!B9</f>
        <v>0</v>
      </c>
      <c r="D9" s="4">
        <f>III!B9</f>
        <v>0</v>
      </c>
      <c r="E9" s="4">
        <f>IV!B9</f>
        <v>0</v>
      </c>
      <c r="F9" s="44">
        <f t="shared" si="2"/>
        <v>-7300</v>
      </c>
      <c r="G9" s="44">
        <f t="shared" si="1"/>
        <v>-608.33333333333337</v>
      </c>
      <c r="M9" s="1"/>
    </row>
    <row r="10" spans="1:13" x14ac:dyDescent="0.25">
      <c r="A10" s="3" t="s">
        <v>8</v>
      </c>
      <c r="B10" s="4">
        <f>I!B10</f>
        <v>-1500</v>
      </c>
      <c r="C10" s="4">
        <f>II!B10</f>
        <v>-1500</v>
      </c>
      <c r="D10" s="4">
        <f>III!B10</f>
        <v>-1500</v>
      </c>
      <c r="E10" s="4">
        <f>IV!B10</f>
        <v>-1500</v>
      </c>
      <c r="F10" s="44">
        <f t="shared" si="2"/>
        <v>-6000</v>
      </c>
      <c r="G10" s="44">
        <f t="shared" si="1"/>
        <v>-500</v>
      </c>
      <c r="M10" s="1"/>
    </row>
    <row r="11" spans="1:13" x14ac:dyDescent="0.25">
      <c r="A11" s="3" t="s">
        <v>9</v>
      </c>
      <c r="B11" s="4">
        <f>I!B11</f>
        <v>-30000</v>
      </c>
      <c r="C11" s="4">
        <f>II!B11</f>
        <v>-30000</v>
      </c>
      <c r="D11" s="4">
        <f>III!B11</f>
        <v>-30000</v>
      </c>
      <c r="E11" s="4">
        <f>IV!B11</f>
        <v>-30000</v>
      </c>
      <c r="F11" s="44">
        <f t="shared" si="2"/>
        <v>-120000</v>
      </c>
      <c r="G11" s="44">
        <f t="shared" si="1"/>
        <v>-10000</v>
      </c>
      <c r="M11" s="1"/>
    </row>
    <row r="12" spans="1:13" x14ac:dyDescent="0.25">
      <c r="A12" s="3" t="s">
        <v>15</v>
      </c>
      <c r="B12" s="12">
        <v>-7200</v>
      </c>
      <c r="C12" s="12">
        <v>-7200</v>
      </c>
      <c r="D12" s="12">
        <f>III!B12</f>
        <v>-7200</v>
      </c>
      <c r="E12" s="12">
        <f>IV!B12</f>
        <v>-7200</v>
      </c>
      <c r="F12" s="44">
        <f t="shared" si="2"/>
        <v>-28800</v>
      </c>
      <c r="G12" s="44">
        <f t="shared" si="1"/>
        <v>-2400</v>
      </c>
      <c r="M12" s="1"/>
    </row>
    <row r="13" spans="1:13" x14ac:dyDescent="0.25">
      <c r="A13" s="3" t="s">
        <v>16</v>
      </c>
      <c r="B13" s="12">
        <v>-4900</v>
      </c>
      <c r="C13" s="12">
        <v>-3600</v>
      </c>
      <c r="D13" s="12">
        <f>III!B13</f>
        <v>-3900</v>
      </c>
      <c r="E13" s="12">
        <f>IV!B13</f>
        <v>-5100</v>
      </c>
      <c r="F13" s="44">
        <f t="shared" si="2"/>
        <v>-17500</v>
      </c>
      <c r="G13" s="44">
        <f t="shared" si="1"/>
        <v>-1458.3333333333333</v>
      </c>
      <c r="M13" s="1"/>
    </row>
    <row r="14" spans="1:13" x14ac:dyDescent="0.25">
      <c r="A14" s="3" t="s">
        <v>17</v>
      </c>
      <c r="B14" s="12">
        <v>-4800</v>
      </c>
      <c r="C14" s="12">
        <v>-4800</v>
      </c>
      <c r="D14" s="12">
        <f>III!B14</f>
        <v>-4800</v>
      </c>
      <c r="E14" s="12">
        <f>IV!B14</f>
        <v>-4800</v>
      </c>
      <c r="F14" s="44">
        <f t="shared" si="2"/>
        <v>-19200</v>
      </c>
      <c r="G14" s="44">
        <f t="shared" si="1"/>
        <v>-1600</v>
      </c>
      <c r="M14" s="1"/>
    </row>
    <row r="15" spans="1:13" x14ac:dyDescent="0.25">
      <c r="A15" s="130" t="s">
        <v>31</v>
      </c>
      <c r="B15" s="2">
        <f>B2+B7</f>
        <v>102070.12858133001</v>
      </c>
      <c r="C15" s="2">
        <f t="shared" ref="C15" si="4">C2+C7</f>
        <v>111519.63354323001</v>
      </c>
      <c r="D15" s="2">
        <f>III!B15</f>
        <v>48777.384601699174</v>
      </c>
      <c r="E15" s="2">
        <f>IV!B15</f>
        <v>49126.744179141679</v>
      </c>
      <c r="F15" s="131">
        <f t="shared" si="2"/>
        <v>311493.89090540085</v>
      </c>
      <c r="G15" s="131">
        <f t="shared" si="1"/>
        <v>25957.824242116738</v>
      </c>
      <c r="M15" s="1"/>
    </row>
    <row r="16" spans="1:13" x14ac:dyDescent="0.25">
      <c r="A16" s="130" t="s">
        <v>10</v>
      </c>
      <c r="B16" s="2">
        <f>I!B16</f>
        <v>-66797</v>
      </c>
      <c r="C16" s="2">
        <f>II!B16</f>
        <v>-76415</v>
      </c>
      <c r="D16" s="2">
        <f>III!B16</f>
        <v>-51337</v>
      </c>
      <c r="E16" s="2">
        <f>IV!B16</f>
        <v>-85389</v>
      </c>
      <c r="F16" s="131">
        <f t="shared" si="2"/>
        <v>-279938</v>
      </c>
      <c r="G16" s="131">
        <f t="shared" si="1"/>
        <v>-23328.166666666668</v>
      </c>
      <c r="M16" s="1"/>
    </row>
    <row r="17" spans="1:13" x14ac:dyDescent="0.25">
      <c r="A17" s="3" t="s">
        <v>11</v>
      </c>
      <c r="B17" s="12">
        <f>I!B17</f>
        <v>-5194</v>
      </c>
      <c r="C17" s="12">
        <f>II!B17</f>
        <v>-5240</v>
      </c>
      <c r="D17" s="12">
        <f>III!B17</f>
        <v>-5335</v>
      </c>
      <c r="E17" s="12">
        <f>IV!B17</f>
        <v>-5240</v>
      </c>
      <c r="F17" s="44">
        <f t="shared" si="2"/>
        <v>-21009</v>
      </c>
      <c r="G17" s="44">
        <f t="shared" si="1"/>
        <v>-1750.75</v>
      </c>
      <c r="M17" s="1"/>
    </row>
    <row r="18" spans="1:13" x14ac:dyDescent="0.25">
      <c r="A18" s="3" t="s">
        <v>12</v>
      </c>
      <c r="B18" s="12">
        <f>I!B18</f>
        <v>-2272</v>
      </c>
      <c r="C18" s="12">
        <f>II!B18</f>
        <v>-2243</v>
      </c>
      <c r="D18" s="12">
        <f>III!B18</f>
        <v>-2180</v>
      </c>
      <c r="E18" s="12">
        <f>IV!B18</f>
        <v>-2227</v>
      </c>
      <c r="F18" s="44">
        <f t="shared" si="2"/>
        <v>-8922</v>
      </c>
      <c r="G18" s="44">
        <f t="shared" si="1"/>
        <v>-743.5</v>
      </c>
      <c r="M18" s="1"/>
    </row>
    <row r="19" spans="1:13" x14ac:dyDescent="0.25">
      <c r="A19" s="3" t="s">
        <v>13</v>
      </c>
      <c r="B19" s="12">
        <f>I!B19</f>
        <v>-6333</v>
      </c>
      <c r="C19" s="12">
        <f>II!B19</f>
        <v>-6299</v>
      </c>
      <c r="D19" s="12">
        <f>III!B19</f>
        <v>-6339</v>
      </c>
      <c r="E19" s="12">
        <f>IV!B19</f>
        <v>-6370</v>
      </c>
      <c r="F19" s="44">
        <f t="shared" si="2"/>
        <v>-25341</v>
      </c>
      <c r="G19" s="44">
        <f t="shared" si="1"/>
        <v>-2111.75</v>
      </c>
      <c r="M19" s="1"/>
    </row>
    <row r="20" spans="1:13" x14ac:dyDescent="0.25">
      <c r="A20" s="3" t="s">
        <v>14</v>
      </c>
      <c r="B20" s="12">
        <f>I!B20</f>
        <v>-6691</v>
      </c>
      <c r="C20" s="12">
        <f>II!B20</f>
        <v>-6377</v>
      </c>
      <c r="D20" s="12">
        <f>III!B20</f>
        <v>-6275</v>
      </c>
      <c r="E20" s="12">
        <f>IV!B20</f>
        <v>-6220</v>
      </c>
      <c r="F20" s="44">
        <f t="shared" si="2"/>
        <v>-25563</v>
      </c>
      <c r="G20" s="44">
        <f t="shared" si="1"/>
        <v>-2130.25</v>
      </c>
      <c r="M20" s="1"/>
    </row>
    <row r="21" spans="1:13" x14ac:dyDescent="0.25">
      <c r="A21" s="3" t="s">
        <v>18</v>
      </c>
      <c r="B21" s="12">
        <f>I!B21</f>
        <v>-3949</v>
      </c>
      <c r="C21" s="12">
        <f>II!B21</f>
        <v>-4249</v>
      </c>
      <c r="D21" s="12">
        <f>III!B21</f>
        <v>-3938</v>
      </c>
      <c r="E21" s="12">
        <f>IV!B21</f>
        <v>-4003</v>
      </c>
      <c r="F21" s="44">
        <f t="shared" si="2"/>
        <v>-16139</v>
      </c>
      <c r="G21" s="44">
        <f t="shared" si="1"/>
        <v>-1344.9166666666667</v>
      </c>
      <c r="M21" s="1"/>
    </row>
    <row r="22" spans="1:13" x14ac:dyDescent="0.25">
      <c r="A22" s="3" t="s">
        <v>19</v>
      </c>
      <c r="B22" s="12">
        <f>I!B22</f>
        <v>0</v>
      </c>
      <c r="C22" s="12">
        <f>II!B22</f>
        <v>-25000</v>
      </c>
      <c r="D22" s="12">
        <f>III!B22</f>
        <v>0</v>
      </c>
      <c r="E22" s="12">
        <f>IV!B22</f>
        <v>-27000</v>
      </c>
      <c r="F22" s="44">
        <f t="shared" si="2"/>
        <v>-52000</v>
      </c>
      <c r="G22" s="44">
        <f t="shared" si="1"/>
        <v>-4333.333333333333</v>
      </c>
      <c r="M22" s="1"/>
    </row>
    <row r="23" spans="1:13" x14ac:dyDescent="0.25">
      <c r="A23" s="3" t="s">
        <v>20</v>
      </c>
      <c r="B23" s="12">
        <f>I!B23</f>
        <v>-8284</v>
      </c>
      <c r="C23" s="12">
        <f>II!B23</f>
        <v>-8836</v>
      </c>
      <c r="D23" s="12">
        <f>III!B23</f>
        <v>-9118</v>
      </c>
      <c r="E23" s="12">
        <f>IV!B23</f>
        <v>-8154</v>
      </c>
      <c r="F23" s="44">
        <f t="shared" si="2"/>
        <v>-34392</v>
      </c>
      <c r="G23" s="44">
        <f t="shared" si="1"/>
        <v>-2866</v>
      </c>
      <c r="M23" s="1"/>
    </row>
    <row r="24" spans="1:13" x14ac:dyDescent="0.25">
      <c r="A24" s="3" t="s">
        <v>29</v>
      </c>
      <c r="B24" s="12">
        <f>I!B24</f>
        <v>-6629</v>
      </c>
      <c r="C24" s="12">
        <f>II!B24</f>
        <v>-6068</v>
      </c>
      <c r="D24" s="12">
        <f>III!B24</f>
        <v>-6460</v>
      </c>
      <c r="E24" s="12">
        <f>IV!B24</f>
        <v>-13808</v>
      </c>
      <c r="F24" s="44">
        <f>SUM(B24:E24)</f>
        <v>-32965</v>
      </c>
      <c r="G24" s="44">
        <f t="shared" si="1"/>
        <v>-2747.0833333333335</v>
      </c>
      <c r="M24" s="1"/>
    </row>
    <row r="25" spans="1:13" x14ac:dyDescent="0.25">
      <c r="A25" s="3" t="s">
        <v>21</v>
      </c>
      <c r="B25" s="12">
        <f>I!B25</f>
        <v>-27445</v>
      </c>
      <c r="C25" s="12">
        <f>II!B25</f>
        <v>-12103</v>
      </c>
      <c r="D25" s="12">
        <f>III!B25</f>
        <v>-11692</v>
      </c>
      <c r="E25" s="12">
        <f>IV!B25</f>
        <v>-12367</v>
      </c>
      <c r="F25" s="44">
        <f>SUM(B25:E25)</f>
        <v>-63607</v>
      </c>
      <c r="G25" s="44">
        <f t="shared" si="1"/>
        <v>-5300.583333333333</v>
      </c>
      <c r="K25" s="20"/>
      <c r="M25" s="1"/>
    </row>
    <row r="26" spans="1:13" x14ac:dyDescent="0.25">
      <c r="A26" s="130" t="s">
        <v>22</v>
      </c>
      <c r="B26" s="14">
        <f>B15+B16</f>
        <v>35273.128581330006</v>
      </c>
      <c r="C26" s="14">
        <f>C15+C16</f>
        <v>35104.633543230011</v>
      </c>
      <c r="D26" s="14">
        <f>III!B26</f>
        <v>-2559.6153983008262</v>
      </c>
      <c r="E26" s="14">
        <f>IV!B26</f>
        <v>-36262.255820858321</v>
      </c>
      <c r="F26" s="131">
        <f>SUM(B26:E26)</f>
        <v>31555.890905400869</v>
      </c>
      <c r="G26" s="44">
        <f>F25/12</f>
        <v>-5300.583333333333</v>
      </c>
      <c r="M26" s="1"/>
    </row>
    <row r="27" spans="1:13" x14ac:dyDescent="0.25">
      <c r="A27" s="3" t="s">
        <v>25</v>
      </c>
      <c r="B27" s="12">
        <f>I!B27</f>
        <v>-5394</v>
      </c>
      <c r="C27" s="12">
        <f>II!B27</f>
        <v>-5394</v>
      </c>
      <c r="D27" s="12">
        <f>III!B27</f>
        <v>-5394</v>
      </c>
      <c r="E27" s="12">
        <f>IV!B27</f>
        <v>-5394</v>
      </c>
      <c r="F27" s="44">
        <f>SUM(B27:E27)</f>
        <v>-21576</v>
      </c>
      <c r="G27" s="131">
        <f>F26/12</f>
        <v>2629.6575754500723</v>
      </c>
      <c r="M27" s="1"/>
    </row>
    <row r="28" spans="1:13" x14ac:dyDescent="0.25">
      <c r="A28" s="3" t="s">
        <v>95</v>
      </c>
      <c r="B28" s="12">
        <f>I!B28</f>
        <v>-3000</v>
      </c>
      <c r="C28" s="12">
        <f>II!B28</f>
        <v>0</v>
      </c>
      <c r="D28" s="12">
        <f>III!B28</f>
        <v>0</v>
      </c>
      <c r="E28" s="12">
        <f>IV!B28</f>
        <v>0</v>
      </c>
      <c r="F28" s="44">
        <f>SUM(B28:E28)</f>
        <v>-3000</v>
      </c>
      <c r="G28" s="44">
        <f>F27/12</f>
        <v>-1798</v>
      </c>
      <c r="M28" s="1"/>
    </row>
    <row r="29" spans="1:13" x14ac:dyDescent="0.25">
      <c r="A29" s="130" t="s">
        <v>23</v>
      </c>
      <c r="B29" s="14">
        <f>B26+B27+B28</f>
        <v>26879.128581330006</v>
      </c>
      <c r="C29" s="14">
        <f>C26+C27</f>
        <v>29710.633543230011</v>
      </c>
      <c r="D29" s="14">
        <f>D26+D27</f>
        <v>-7953.6153983008262</v>
      </c>
      <c r="E29" s="14">
        <f>IV!B29</f>
        <v>-41656.255820858321</v>
      </c>
      <c r="F29" s="131">
        <f>F26+F27+F28</f>
        <v>6979.8909054008691</v>
      </c>
      <c r="G29" s="131">
        <f>F29/12</f>
        <v>581.65757545007239</v>
      </c>
      <c r="M29" s="1"/>
    </row>
    <row r="31" spans="1:13" x14ac:dyDescent="0.25">
      <c r="A31" s="46"/>
      <c r="B31" s="46"/>
      <c r="C31" s="46"/>
      <c r="D31" s="46"/>
      <c r="E31" s="46"/>
      <c r="F31" s="47"/>
    </row>
  </sheetData>
  <phoneticPr fontId="7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865D-3A7D-413A-97A9-B8E60690623A}">
  <dimension ref="A1:P51"/>
  <sheetViews>
    <sheetView zoomScaleNormal="100" workbookViewId="0">
      <selection sqref="A1:XFD30"/>
    </sheetView>
  </sheetViews>
  <sheetFormatPr defaultColWidth="20.7109375" defaultRowHeight="15" x14ac:dyDescent="0.25"/>
  <cols>
    <col min="1" max="1" width="37" style="88" bestFit="1" customWidth="1"/>
    <col min="2" max="4" width="9.85546875" style="88" bestFit="1" customWidth="1"/>
    <col min="5" max="5" width="9.85546875" style="88" hidden="1" customWidth="1"/>
    <col min="6" max="6" width="11.5703125" style="88" bestFit="1" customWidth="1"/>
    <col min="7" max="8" width="20.7109375" style="88"/>
    <col min="9" max="9" width="16.7109375" style="88" bestFit="1" customWidth="1"/>
    <col min="10" max="10" width="9.140625" style="88" bestFit="1" customWidth="1"/>
    <col min="11" max="11" width="20.7109375" style="88"/>
    <col min="12" max="12" width="9.140625" style="88" bestFit="1" customWidth="1"/>
    <col min="13" max="13" width="7.42578125" style="88" bestFit="1" customWidth="1"/>
    <col min="14" max="14" width="37" style="88" bestFit="1" customWidth="1"/>
    <col min="15" max="16" width="15.7109375" style="88" customWidth="1"/>
    <col min="17" max="16384" width="20.7109375" style="88"/>
  </cols>
  <sheetData>
    <row r="1" spans="1:16" x14ac:dyDescent="0.25">
      <c r="A1" s="77" t="s">
        <v>34</v>
      </c>
      <c r="B1" s="77">
        <v>2020</v>
      </c>
      <c r="C1" s="77">
        <v>2021</v>
      </c>
      <c r="D1" s="77">
        <v>2022</v>
      </c>
      <c r="E1" s="77">
        <v>2023</v>
      </c>
      <c r="F1" s="77" t="s">
        <v>30</v>
      </c>
      <c r="I1" s="142" t="s">
        <v>96</v>
      </c>
      <c r="J1" s="144"/>
      <c r="K1" s="144"/>
      <c r="L1" s="143"/>
      <c r="N1" s="77"/>
      <c r="O1" s="77" t="s">
        <v>51</v>
      </c>
      <c r="P1" s="77" t="s">
        <v>52</v>
      </c>
    </row>
    <row r="2" spans="1:16" x14ac:dyDescent="0.25">
      <c r="A2" s="80" t="s">
        <v>0</v>
      </c>
      <c r="B2" s="81">
        <f>SUM(B3:B6)</f>
        <v>488992.05128205125</v>
      </c>
      <c r="C2" s="81">
        <f t="shared" ref="C2:E2" si="0">SUM(C3:C6)</f>
        <v>488892.05128205125</v>
      </c>
      <c r="D2" s="81">
        <f>SUM(D3:D6)</f>
        <v>488792.05128205125</v>
      </c>
      <c r="E2" s="81">
        <f t="shared" si="0"/>
        <v>688095.51282051287</v>
      </c>
      <c r="F2" s="81">
        <f>SUM(B2:D2)</f>
        <v>1466676.1538461538</v>
      </c>
      <c r="G2" s="126"/>
      <c r="I2" s="142" t="s">
        <v>39</v>
      </c>
      <c r="J2" s="143"/>
      <c r="K2" s="142" t="s">
        <v>40</v>
      </c>
      <c r="L2" s="143"/>
      <c r="N2" s="80" t="s">
        <v>0</v>
      </c>
      <c r="O2" s="81">
        <f>SUM(O3:O6)</f>
        <v>688095.51282051287</v>
      </c>
      <c r="P2" s="81">
        <f>SUM(P3:P6)</f>
        <v>606330.51282051287</v>
      </c>
    </row>
    <row r="3" spans="1:16" x14ac:dyDescent="0.25">
      <c r="A3" s="77" t="s">
        <v>1</v>
      </c>
      <c r="B3" s="78">
        <v>396000</v>
      </c>
      <c r="C3" s="78">
        <v>396000</v>
      </c>
      <c r="D3" s="78">
        <v>396000</v>
      </c>
      <c r="E3" s="78">
        <f>33000*12+9*29085</f>
        <v>657765</v>
      </c>
      <c r="F3" s="78">
        <f t="shared" ref="F3:F28" si="1">SUM(B3:D3)</f>
        <v>1188000</v>
      </c>
      <c r="I3" s="87" t="s">
        <v>41</v>
      </c>
      <c r="J3" s="87" t="s">
        <v>42</v>
      </c>
      <c r="K3" s="87" t="s">
        <v>41</v>
      </c>
      <c r="L3" s="87" t="s">
        <v>42</v>
      </c>
      <c r="N3" s="77" t="s">
        <v>1</v>
      </c>
      <c r="O3" s="78">
        <f>33000*12+29085*9</f>
        <v>657765</v>
      </c>
      <c r="P3" s="78">
        <f>33000*12+15000*12</f>
        <v>576000</v>
      </c>
    </row>
    <row r="4" spans="1:16" x14ac:dyDescent="0.25">
      <c r="A4" s="77" t="s">
        <v>2</v>
      </c>
      <c r="B4" s="78">
        <f>(14000+1620)/2</f>
        <v>7810</v>
      </c>
      <c r="C4" s="78">
        <f t="shared" ref="C4:D4" si="2">(14000+1620)/2</f>
        <v>7810</v>
      </c>
      <c r="D4" s="78">
        <f t="shared" si="2"/>
        <v>7810</v>
      </c>
      <c r="E4" s="78">
        <v>7810</v>
      </c>
      <c r="F4" s="78">
        <f t="shared" si="1"/>
        <v>23430</v>
      </c>
      <c r="I4" s="139" t="s">
        <v>49</v>
      </c>
      <c r="J4" s="140">
        <v>209986</v>
      </c>
      <c r="K4" s="140" t="s">
        <v>50</v>
      </c>
      <c r="L4" s="140">
        <f>J8-SUM(L6:L7)</f>
        <v>304227</v>
      </c>
      <c r="M4" s="89"/>
      <c r="N4" s="77" t="s">
        <v>2</v>
      </c>
      <c r="O4" s="78">
        <v>7810</v>
      </c>
      <c r="P4" s="78">
        <v>7810</v>
      </c>
    </row>
    <row r="5" spans="1:16" x14ac:dyDescent="0.25">
      <c r="A5" s="77" t="s">
        <v>3</v>
      </c>
      <c r="B5" s="78">
        <f>12*Příspěvky!$B$13</f>
        <v>83282.051282051281</v>
      </c>
      <c r="C5" s="78">
        <f>12*Příspěvky!$B$13</f>
        <v>83282.051282051281</v>
      </c>
      <c r="D5" s="78">
        <f>12*Příspěvky!$B$13</f>
        <v>83282.051282051281</v>
      </c>
      <c r="E5" s="78">
        <f>3*Příspěvky!$B$13</f>
        <v>20820.51282051282</v>
      </c>
      <c r="F5" s="78">
        <f t="shared" si="1"/>
        <v>249846.15384615384</v>
      </c>
      <c r="G5" s="90"/>
      <c r="H5" s="89"/>
      <c r="I5" s="139"/>
      <c r="J5" s="141"/>
      <c r="K5" s="141"/>
      <c r="L5" s="141"/>
      <c r="N5" s="77" t="s">
        <v>3</v>
      </c>
      <c r="O5" s="78">
        <f>E5</f>
        <v>20820.51282051282</v>
      </c>
      <c r="P5" s="78">
        <f>E5</f>
        <v>20820.51282051282</v>
      </c>
    </row>
    <row r="6" spans="1:16" x14ac:dyDescent="0.25">
      <c r="A6" s="77" t="s">
        <v>4</v>
      </c>
      <c r="B6" s="91">
        <v>1900</v>
      </c>
      <c r="C6" s="91">
        <v>1800</v>
      </c>
      <c r="D6" s="91">
        <v>1700</v>
      </c>
      <c r="E6" s="91">
        <v>1700</v>
      </c>
      <c r="F6" s="78">
        <f t="shared" si="1"/>
        <v>5400</v>
      </c>
      <c r="G6" s="90"/>
      <c r="I6" s="87" t="s">
        <v>43</v>
      </c>
      <c r="J6" s="87">
        <v>50753</v>
      </c>
      <c r="K6" s="87" t="s">
        <v>47</v>
      </c>
      <c r="L6" s="87">
        <v>4200</v>
      </c>
      <c r="N6" s="77" t="s">
        <v>4</v>
      </c>
      <c r="O6" s="78">
        <f>E6</f>
        <v>1700</v>
      </c>
      <c r="P6" s="78">
        <f>E6</f>
        <v>1700</v>
      </c>
    </row>
    <row r="7" spans="1:16" x14ac:dyDescent="0.25">
      <c r="A7" s="80" t="s">
        <v>5</v>
      </c>
      <c r="B7" s="81">
        <f>SUM(B8:B14)</f>
        <v>-270800</v>
      </c>
      <c r="C7" s="81">
        <f t="shared" ref="C7:D7" si="3">SUM(C8:C14)</f>
        <v>-270800</v>
      </c>
      <c r="D7" s="81">
        <f t="shared" si="3"/>
        <v>-270800</v>
      </c>
      <c r="E7" s="81">
        <f>SUM(E8:E14)</f>
        <v>-270800</v>
      </c>
      <c r="F7" s="81">
        <f t="shared" si="1"/>
        <v>-812400</v>
      </c>
      <c r="G7" s="90"/>
      <c r="I7" s="87" t="s">
        <v>44</v>
      </c>
      <c r="J7" s="87">
        <v>47688</v>
      </c>
      <c r="K7" s="87" t="s">
        <v>48</v>
      </c>
      <c r="L7" s="87">
        <v>0</v>
      </c>
      <c r="N7" s="80" t="s">
        <v>5</v>
      </c>
      <c r="O7" s="81">
        <f>SUM(O8:O14)</f>
        <v>-270800</v>
      </c>
      <c r="P7" s="81">
        <v>-270800</v>
      </c>
    </row>
    <row r="8" spans="1:16" x14ac:dyDescent="0.25">
      <c r="A8" s="77" t="s">
        <v>6</v>
      </c>
      <c r="B8" s="78">
        <v>-72000</v>
      </c>
      <c r="C8" s="78">
        <v>-72000</v>
      </c>
      <c r="D8" s="78">
        <v>-72000</v>
      </c>
      <c r="E8" s="78">
        <v>-72000</v>
      </c>
      <c r="F8" s="78">
        <f t="shared" si="1"/>
        <v>-216000</v>
      </c>
      <c r="G8" s="127"/>
      <c r="I8" s="87" t="s">
        <v>30</v>
      </c>
      <c r="J8" s="87">
        <f>SUM(J4:J7)</f>
        <v>308427</v>
      </c>
      <c r="K8" s="87" t="s">
        <v>45</v>
      </c>
      <c r="L8" s="87">
        <f>SUM(L4:L7)</f>
        <v>308427</v>
      </c>
      <c r="N8" s="77" t="s">
        <v>6</v>
      </c>
      <c r="O8" s="78">
        <v>-72000</v>
      </c>
      <c r="P8" s="78">
        <v>-72000</v>
      </c>
    </row>
    <row r="9" spans="1:16" x14ac:dyDescent="0.25">
      <c r="A9" s="77" t="s">
        <v>7</v>
      </c>
      <c r="B9" s="78">
        <v>-7300</v>
      </c>
      <c r="C9" s="78">
        <v>-7300</v>
      </c>
      <c r="D9" s="78">
        <v>-7300</v>
      </c>
      <c r="E9" s="78">
        <v>-7300</v>
      </c>
      <c r="F9" s="78">
        <f t="shared" si="1"/>
        <v>-21900</v>
      </c>
      <c r="G9" s="127"/>
      <c r="N9" s="77" t="s">
        <v>7</v>
      </c>
      <c r="O9" s="78">
        <v>-7300</v>
      </c>
      <c r="P9" s="78">
        <v>-7300</v>
      </c>
    </row>
    <row r="10" spans="1:16" x14ac:dyDescent="0.25">
      <c r="A10" s="77" t="s">
        <v>8</v>
      </c>
      <c r="B10" s="78">
        <v>-6000</v>
      </c>
      <c r="C10" s="78">
        <v>-6000</v>
      </c>
      <c r="D10" s="78">
        <v>-6000</v>
      </c>
      <c r="E10" s="78">
        <v>-6000</v>
      </c>
      <c r="F10" s="78">
        <f t="shared" si="1"/>
        <v>-18000</v>
      </c>
      <c r="I10" s="138" t="s">
        <v>98</v>
      </c>
      <c r="J10" s="138"/>
      <c r="K10" s="138"/>
      <c r="L10" s="138"/>
      <c r="N10" s="77" t="s">
        <v>8</v>
      </c>
      <c r="O10" s="78">
        <v>-6000</v>
      </c>
      <c r="P10" s="78">
        <v>-6000</v>
      </c>
    </row>
    <row r="11" spans="1:16" x14ac:dyDescent="0.25">
      <c r="A11" s="77" t="s">
        <v>9</v>
      </c>
      <c r="B11" s="78">
        <v>-120000</v>
      </c>
      <c r="C11" s="78">
        <v>-120000</v>
      </c>
      <c r="D11" s="78">
        <v>-120000</v>
      </c>
      <c r="E11" s="78">
        <v>-120000</v>
      </c>
      <c r="F11" s="78">
        <f t="shared" si="1"/>
        <v>-360000</v>
      </c>
      <c r="I11" s="138" t="s">
        <v>39</v>
      </c>
      <c r="J11" s="138"/>
      <c r="K11" s="138" t="s">
        <v>40</v>
      </c>
      <c r="L11" s="138"/>
      <c r="N11" s="77" t="s">
        <v>9</v>
      </c>
      <c r="O11" s="78">
        <v>-120000</v>
      </c>
      <c r="P11" s="78">
        <v>-120000</v>
      </c>
    </row>
    <row r="12" spans="1:16" x14ac:dyDescent="0.25">
      <c r="A12" s="77" t="s">
        <v>15</v>
      </c>
      <c r="B12" s="79">
        <v>-28800</v>
      </c>
      <c r="C12" s="79">
        <v>-28800</v>
      </c>
      <c r="D12" s="79">
        <v>-28800</v>
      </c>
      <c r="E12" s="79">
        <v>-28800</v>
      </c>
      <c r="F12" s="79">
        <f t="shared" si="1"/>
        <v>-86400</v>
      </c>
      <c r="H12" s="89"/>
      <c r="I12" s="87" t="s">
        <v>41</v>
      </c>
      <c r="J12" s="87" t="s">
        <v>42</v>
      </c>
      <c r="K12" s="87" t="s">
        <v>41</v>
      </c>
      <c r="L12" s="87" t="s">
        <v>42</v>
      </c>
      <c r="N12" s="77" t="s">
        <v>15</v>
      </c>
      <c r="O12" s="79">
        <v>-28800</v>
      </c>
      <c r="P12" s="79">
        <v>-28800</v>
      </c>
    </row>
    <row r="13" spans="1:16" x14ac:dyDescent="0.25">
      <c r="A13" s="77" t="s">
        <v>16</v>
      </c>
      <c r="B13" s="79">
        <v>-17500</v>
      </c>
      <c r="C13" s="79">
        <v>-17500</v>
      </c>
      <c r="D13" s="79">
        <v>-17500</v>
      </c>
      <c r="E13" s="79">
        <v>-17500</v>
      </c>
      <c r="F13" s="79">
        <f t="shared" si="1"/>
        <v>-52500</v>
      </c>
      <c r="H13" s="89"/>
      <c r="I13" s="139" t="s">
        <v>49</v>
      </c>
      <c r="J13" s="139">
        <f>J4+B29</f>
        <v>187100.05128205125</v>
      </c>
      <c r="K13" s="140" t="s">
        <v>100</v>
      </c>
      <c r="L13" s="140">
        <f>J17-L15-L16</f>
        <v>306869.94565190957</v>
      </c>
      <c r="M13" s="89"/>
      <c r="N13" s="77" t="s">
        <v>16</v>
      </c>
      <c r="O13" s="79">
        <v>-17500</v>
      </c>
      <c r="P13" s="79">
        <v>-17500</v>
      </c>
    </row>
    <row r="14" spans="1:16" x14ac:dyDescent="0.25">
      <c r="A14" s="77" t="s">
        <v>17</v>
      </c>
      <c r="B14" s="79">
        <v>-19200</v>
      </c>
      <c r="C14" s="79">
        <v>-19200</v>
      </c>
      <c r="D14" s="79">
        <v>-19200</v>
      </c>
      <c r="E14" s="79">
        <v>-19200</v>
      </c>
      <c r="F14" s="79">
        <f t="shared" si="1"/>
        <v>-57600</v>
      </c>
      <c r="H14" s="89"/>
      <c r="I14" s="139"/>
      <c r="J14" s="139"/>
      <c r="K14" s="141"/>
      <c r="L14" s="141"/>
      <c r="M14" s="89"/>
      <c r="N14" s="77" t="s">
        <v>17</v>
      </c>
      <c r="O14" s="79">
        <v>-19200</v>
      </c>
      <c r="P14" s="79">
        <v>-19200</v>
      </c>
    </row>
    <row r="15" spans="1:16" x14ac:dyDescent="0.25">
      <c r="A15" s="80" t="s">
        <v>31</v>
      </c>
      <c r="B15" s="81">
        <f>B2+B7</f>
        <v>218192.05128205125</v>
      </c>
      <c r="C15" s="81">
        <f t="shared" ref="C15:D15" si="4">C2+C7</f>
        <v>218092.05128205125</v>
      </c>
      <c r="D15" s="81">
        <f t="shared" si="4"/>
        <v>217992.05128205125</v>
      </c>
      <c r="E15" s="81">
        <f>E2+E7</f>
        <v>417295.51282051287</v>
      </c>
      <c r="F15" s="81">
        <f t="shared" si="1"/>
        <v>654276.15384615376</v>
      </c>
      <c r="H15" s="89"/>
      <c r="I15" s="87" t="s">
        <v>43</v>
      </c>
      <c r="J15" s="87">
        <v>51514</v>
      </c>
      <c r="K15" s="87" t="s">
        <v>47</v>
      </c>
      <c r="L15" s="87">
        <v>3700</v>
      </c>
      <c r="N15" s="80" t="s">
        <v>31</v>
      </c>
      <c r="O15" s="81">
        <f>O2+O7</f>
        <v>417295.51282051287</v>
      </c>
      <c r="P15" s="81">
        <f>P2+P7</f>
        <v>335530.51282051287</v>
      </c>
    </row>
    <row r="16" spans="1:16" x14ac:dyDescent="0.25">
      <c r="A16" s="80" t="s">
        <v>10</v>
      </c>
      <c r="B16" s="81">
        <f>SUM(B17:B25)</f>
        <v>-215301</v>
      </c>
      <c r="C16" s="81">
        <f>SUM(C17:C25)</f>
        <v>-215301</v>
      </c>
      <c r="D16" s="81">
        <f>SUM(D17:D25)</f>
        <v>-215301</v>
      </c>
      <c r="E16" s="81">
        <f>SUM(E17:E25)</f>
        <v>-402301</v>
      </c>
      <c r="F16" s="81">
        <f t="shared" si="1"/>
        <v>-645903</v>
      </c>
      <c r="G16" s="90"/>
      <c r="H16" s="89"/>
      <c r="I16" s="87" t="s">
        <v>44</v>
      </c>
      <c r="J16" s="87">
        <f>'Spoření propočty'!F4</f>
        <v>71955.894369858288</v>
      </c>
      <c r="K16" s="87" t="s">
        <v>48</v>
      </c>
      <c r="L16" s="87">
        <v>0</v>
      </c>
      <c r="N16" s="80" t="s">
        <v>10</v>
      </c>
      <c r="O16" s="81">
        <f>SUM(O17:O25)</f>
        <v>-405301</v>
      </c>
      <c r="P16" s="81">
        <f>SUM(P17:P25)</f>
        <v>-344301</v>
      </c>
    </row>
    <row r="17" spans="1:16" x14ac:dyDescent="0.25">
      <c r="A17" s="77" t="s">
        <v>11</v>
      </c>
      <c r="B17" s="79">
        <v>-18360</v>
      </c>
      <c r="C17" s="79">
        <v>-18360</v>
      </c>
      <c r="D17" s="79">
        <v>-18360</v>
      </c>
      <c r="E17" s="79">
        <v>-18360</v>
      </c>
      <c r="F17" s="79">
        <f t="shared" si="1"/>
        <v>-55080</v>
      </c>
      <c r="H17" s="89"/>
      <c r="I17" s="87" t="s">
        <v>30</v>
      </c>
      <c r="J17" s="87">
        <f>SUM(J13:J16)</f>
        <v>310569.94565190957</v>
      </c>
      <c r="K17" s="87" t="s">
        <v>45</v>
      </c>
      <c r="L17" s="87">
        <f>SUM(L13:L16)</f>
        <v>310569.94565190957</v>
      </c>
      <c r="N17" s="77" t="s">
        <v>11</v>
      </c>
      <c r="O17" s="79">
        <v>-18360</v>
      </c>
      <c r="P17" s="79">
        <v>-18360</v>
      </c>
    </row>
    <row r="18" spans="1:16" x14ac:dyDescent="0.25">
      <c r="A18" s="77" t="s">
        <v>12</v>
      </c>
      <c r="B18" s="79">
        <v>-6000</v>
      </c>
      <c r="C18" s="79">
        <v>-6000</v>
      </c>
      <c r="D18" s="79">
        <v>-6000</v>
      </c>
      <c r="E18" s="79">
        <v>-6000</v>
      </c>
      <c r="F18" s="79">
        <f t="shared" si="1"/>
        <v>-18000</v>
      </c>
      <c r="H18" s="89"/>
      <c r="N18" s="77" t="s">
        <v>12</v>
      </c>
      <c r="O18" s="79">
        <v>-6000</v>
      </c>
      <c r="P18" s="79">
        <v>-6000</v>
      </c>
    </row>
    <row r="19" spans="1:16" x14ac:dyDescent="0.25">
      <c r="A19" s="77" t="s">
        <v>13</v>
      </c>
      <c r="B19" s="79">
        <v>-25341</v>
      </c>
      <c r="C19" s="79">
        <v>-25341</v>
      </c>
      <c r="D19" s="79">
        <v>-25341</v>
      </c>
      <c r="E19" s="79">
        <v>-25341</v>
      </c>
      <c r="F19" s="79">
        <f t="shared" si="1"/>
        <v>-76023</v>
      </c>
      <c r="I19" s="138" t="s">
        <v>99</v>
      </c>
      <c r="J19" s="138"/>
      <c r="K19" s="138"/>
      <c r="L19" s="138"/>
      <c r="N19" s="77" t="s">
        <v>13</v>
      </c>
      <c r="O19" s="79">
        <v>-25341</v>
      </c>
      <c r="P19" s="79">
        <v>-25341</v>
      </c>
    </row>
    <row r="20" spans="1:16" x14ac:dyDescent="0.25">
      <c r="A20" s="77" t="s">
        <v>14</v>
      </c>
      <c r="B20" s="79">
        <f>-1500*12</f>
        <v>-18000</v>
      </c>
      <c r="C20" s="79">
        <f t="shared" ref="C20:D20" si="5">-1500*12</f>
        <v>-18000</v>
      </c>
      <c r="D20" s="79">
        <f t="shared" si="5"/>
        <v>-18000</v>
      </c>
      <c r="E20" s="79">
        <f>-1500*12</f>
        <v>-18000</v>
      </c>
      <c r="F20" s="79">
        <f t="shared" si="1"/>
        <v>-54000</v>
      </c>
      <c r="G20" s="90"/>
      <c r="H20" s="89"/>
      <c r="I20" s="138" t="s">
        <v>39</v>
      </c>
      <c r="J20" s="138"/>
      <c r="K20" s="138" t="s">
        <v>40</v>
      </c>
      <c r="L20" s="138"/>
      <c r="N20" s="77" t="s">
        <v>14</v>
      </c>
      <c r="O20" s="79">
        <f>-1500*12</f>
        <v>-18000</v>
      </c>
      <c r="P20" s="79">
        <f>-1500*12</f>
        <v>-18000</v>
      </c>
    </row>
    <row r="21" spans="1:16" x14ac:dyDescent="0.25">
      <c r="A21" s="77" t="s">
        <v>18</v>
      </c>
      <c r="B21" s="79">
        <f>-12000</f>
        <v>-12000</v>
      </c>
      <c r="C21" s="79">
        <f t="shared" ref="C21:D21" si="6">-12000</f>
        <v>-12000</v>
      </c>
      <c r="D21" s="79">
        <f t="shared" si="6"/>
        <v>-12000</v>
      </c>
      <c r="E21" s="79">
        <f>-12000</f>
        <v>-12000</v>
      </c>
      <c r="F21" s="79">
        <f t="shared" si="1"/>
        <v>-36000</v>
      </c>
      <c r="I21" s="87" t="s">
        <v>41</v>
      </c>
      <c r="J21" s="87" t="s">
        <v>42</v>
      </c>
      <c r="K21" s="87" t="s">
        <v>41</v>
      </c>
      <c r="L21" s="87" t="s">
        <v>42</v>
      </c>
      <c r="N21" s="77" t="s">
        <v>18</v>
      </c>
      <c r="O21" s="79">
        <f>-12000</f>
        <v>-12000</v>
      </c>
      <c r="P21" s="79">
        <f>-12000</f>
        <v>-12000</v>
      </c>
    </row>
    <row r="22" spans="1:16" x14ac:dyDescent="0.25">
      <c r="A22" s="77" t="s">
        <v>19</v>
      </c>
      <c r="B22" s="79">
        <v>-30000</v>
      </c>
      <c r="C22" s="79">
        <v>-30000</v>
      </c>
      <c r="D22" s="79">
        <v>-30000</v>
      </c>
      <c r="E22" s="79">
        <v>-30000</v>
      </c>
      <c r="F22" s="79">
        <f t="shared" si="1"/>
        <v>-90000</v>
      </c>
      <c r="I22" s="139" t="s">
        <v>49</v>
      </c>
      <c r="J22" s="139">
        <f>J13+C29</f>
        <v>164614.1025641025</v>
      </c>
      <c r="K22" s="140" t="s">
        <v>100</v>
      </c>
      <c r="L22" s="140">
        <f>J26-L24-L25</f>
        <v>309969.80450283299</v>
      </c>
      <c r="N22" s="77" t="s">
        <v>19</v>
      </c>
      <c r="O22" s="79">
        <v>-30000</v>
      </c>
      <c r="P22" s="79">
        <v>-30000</v>
      </c>
    </row>
    <row r="23" spans="1:16" x14ac:dyDescent="0.25">
      <c r="A23" s="77" t="s">
        <v>20</v>
      </c>
      <c r="B23" s="79">
        <v>-33600</v>
      </c>
      <c r="C23" s="79">
        <v>-33600</v>
      </c>
      <c r="D23" s="79">
        <v>-33600</v>
      </c>
      <c r="E23" s="79">
        <v>-33600</v>
      </c>
      <c r="F23" s="79">
        <f t="shared" si="1"/>
        <v>-100800</v>
      </c>
      <c r="I23" s="139"/>
      <c r="J23" s="139"/>
      <c r="K23" s="141"/>
      <c r="L23" s="141"/>
      <c r="N23" s="77" t="s">
        <v>20</v>
      </c>
      <c r="O23" s="79">
        <v>-36600</v>
      </c>
      <c r="P23" s="79">
        <v>-36600</v>
      </c>
    </row>
    <row r="24" spans="1:16" x14ac:dyDescent="0.25">
      <c r="A24" s="77" t="s">
        <v>29</v>
      </c>
      <c r="B24" s="79">
        <v>-24000</v>
      </c>
      <c r="C24" s="79">
        <v>-24000</v>
      </c>
      <c r="D24" s="79">
        <v>-24000</v>
      </c>
      <c r="E24" s="79">
        <v>-24000</v>
      </c>
      <c r="F24" s="79">
        <f t="shared" si="1"/>
        <v>-72000</v>
      </c>
      <c r="I24" s="87" t="s">
        <v>43</v>
      </c>
      <c r="J24" s="87">
        <v>52544</v>
      </c>
      <c r="K24" s="87" t="s">
        <v>47</v>
      </c>
      <c r="L24" s="87">
        <v>3700</v>
      </c>
      <c r="N24" s="77" t="s">
        <v>29</v>
      </c>
      <c r="O24" s="79">
        <v>-24000</v>
      </c>
      <c r="P24" s="79">
        <v>-24000</v>
      </c>
    </row>
    <row r="25" spans="1:16" x14ac:dyDescent="0.25">
      <c r="A25" s="77" t="s">
        <v>21</v>
      </c>
      <c r="B25" s="79">
        <v>-48000</v>
      </c>
      <c r="C25" s="79">
        <v>-48000</v>
      </c>
      <c r="D25" s="79">
        <v>-48000</v>
      </c>
      <c r="E25" s="79">
        <f>-48000-187000</f>
        <v>-235000</v>
      </c>
      <c r="F25" s="79">
        <f t="shared" si="1"/>
        <v>-144000</v>
      </c>
      <c r="I25" s="87" t="s">
        <v>44</v>
      </c>
      <c r="J25" s="87">
        <f>'Spoření propočty'!F5</f>
        <v>96511.70193873049</v>
      </c>
      <c r="K25" s="87" t="s">
        <v>48</v>
      </c>
      <c r="L25" s="87"/>
      <c r="N25" s="77" t="s">
        <v>21</v>
      </c>
      <c r="O25" s="79">
        <f>-48000-187000</f>
        <v>-235000</v>
      </c>
      <c r="P25" s="79">
        <f>-48000-126000</f>
        <v>-174000</v>
      </c>
    </row>
    <row r="26" spans="1:16" x14ac:dyDescent="0.25">
      <c r="A26" s="80" t="s">
        <v>22</v>
      </c>
      <c r="B26" s="82">
        <f>B15+B16</f>
        <v>2891.0512820512522</v>
      </c>
      <c r="C26" s="82">
        <f t="shared" ref="C26:D26" si="7">C15+C16</f>
        <v>2791.0512820512522</v>
      </c>
      <c r="D26" s="82">
        <f t="shared" si="7"/>
        <v>2691.0512820512522</v>
      </c>
      <c r="E26" s="82">
        <f>E15+E16</f>
        <v>14994.512820512871</v>
      </c>
      <c r="F26" s="82">
        <f t="shared" si="1"/>
        <v>8373.1538461537566</v>
      </c>
      <c r="G26" s="128"/>
      <c r="I26" s="87" t="s">
        <v>30</v>
      </c>
      <c r="J26" s="87">
        <f>SUM(J22:J25)</f>
        <v>313669.80450283299</v>
      </c>
      <c r="K26" s="87" t="s">
        <v>45</v>
      </c>
      <c r="L26" s="87">
        <f>SUM(L22:L25)</f>
        <v>313669.80450283299</v>
      </c>
      <c r="N26" s="80" t="s">
        <v>22</v>
      </c>
      <c r="O26" s="82">
        <f>O15+O16</f>
        <v>11994.512820512871</v>
      </c>
      <c r="P26" s="82">
        <f>P15+P16</f>
        <v>-8770.4871794871287</v>
      </c>
    </row>
    <row r="27" spans="1:16" x14ac:dyDescent="0.25">
      <c r="A27" s="77" t="s">
        <v>25</v>
      </c>
      <c r="B27" s="79">
        <f>-21577</f>
        <v>-21577</v>
      </c>
      <c r="C27" s="79">
        <v>-21577</v>
      </c>
      <c r="D27" s="79">
        <v>-21577</v>
      </c>
      <c r="E27" s="79">
        <v>-21577</v>
      </c>
      <c r="F27" s="78">
        <f t="shared" si="1"/>
        <v>-64731</v>
      </c>
      <c r="N27" s="77" t="s">
        <v>25</v>
      </c>
      <c r="O27" s="79">
        <v>-21577</v>
      </c>
      <c r="P27" s="79">
        <v>-21577</v>
      </c>
    </row>
    <row r="28" spans="1:16" x14ac:dyDescent="0.25">
      <c r="A28" s="95" t="s">
        <v>95</v>
      </c>
      <c r="B28" s="79">
        <v>-4200</v>
      </c>
      <c r="C28" s="79">
        <v>-3700</v>
      </c>
      <c r="D28" s="79">
        <v>-3700</v>
      </c>
      <c r="E28" s="79">
        <v>-3000</v>
      </c>
      <c r="F28" s="79">
        <f t="shared" si="1"/>
        <v>-11600</v>
      </c>
      <c r="G28" s="90"/>
      <c r="I28" s="138" t="s">
        <v>97</v>
      </c>
      <c r="J28" s="138"/>
      <c r="K28" s="138"/>
      <c r="L28" s="138"/>
      <c r="N28" s="77" t="s">
        <v>95</v>
      </c>
      <c r="O28" s="79">
        <v>-3000</v>
      </c>
      <c r="P28" s="79">
        <v>-3000</v>
      </c>
    </row>
    <row r="29" spans="1:16" x14ac:dyDescent="0.25">
      <c r="A29" s="80" t="s">
        <v>23</v>
      </c>
      <c r="B29" s="82">
        <f>B26+B27+B28</f>
        <v>-22885.948717948748</v>
      </c>
      <c r="C29" s="82">
        <f t="shared" ref="C29:E29" si="8">C26+C27+C28</f>
        <v>-22485.948717948748</v>
      </c>
      <c r="D29" s="82">
        <f t="shared" si="8"/>
        <v>-22585.948717948748</v>
      </c>
      <c r="E29" s="82">
        <f t="shared" si="8"/>
        <v>-9582.4871794871287</v>
      </c>
      <c r="F29" s="82">
        <f>SUM(B29:D29)</f>
        <v>-67957.846153846243</v>
      </c>
      <c r="I29" s="138" t="s">
        <v>39</v>
      </c>
      <c r="J29" s="138"/>
      <c r="K29" s="138" t="s">
        <v>40</v>
      </c>
      <c r="L29" s="138"/>
      <c r="N29" s="80" t="s">
        <v>23</v>
      </c>
      <c r="O29" s="82">
        <f>O26+O27+O28</f>
        <v>-12582.487179487129</v>
      </c>
      <c r="P29" s="82">
        <f>P26+P27+P28</f>
        <v>-33347.487179487129</v>
      </c>
    </row>
    <row r="30" spans="1:16" x14ac:dyDescent="0.25">
      <c r="B30" s="89"/>
      <c r="C30" s="89"/>
      <c r="D30" s="89"/>
      <c r="E30" s="89"/>
      <c r="F30" s="90"/>
      <c r="I30" s="87" t="s">
        <v>41</v>
      </c>
      <c r="J30" s="87" t="s">
        <v>42</v>
      </c>
      <c r="K30" s="87" t="s">
        <v>41</v>
      </c>
      <c r="L30" s="87" t="s">
        <v>42</v>
      </c>
    </row>
    <row r="31" spans="1:16" x14ac:dyDescent="0.25">
      <c r="B31" s="90"/>
      <c r="C31" s="90"/>
      <c r="D31" s="90"/>
      <c r="E31" s="90"/>
      <c r="I31" s="139" t="s">
        <v>49</v>
      </c>
      <c r="J31" s="139">
        <f>J22+D29</f>
        <v>142028.15384615376</v>
      </c>
      <c r="K31" s="140" t="s">
        <v>100</v>
      </c>
      <c r="L31" s="140">
        <f>J35-L33-L34</f>
        <v>313544.98638627667</v>
      </c>
    </row>
    <row r="32" spans="1:16" x14ac:dyDescent="0.25">
      <c r="F32" s="90"/>
      <c r="I32" s="139"/>
      <c r="J32" s="139"/>
      <c r="K32" s="141"/>
      <c r="L32" s="141"/>
    </row>
    <row r="33" spans="2:13" x14ac:dyDescent="0.25">
      <c r="B33" s="90"/>
      <c r="C33" s="90"/>
      <c r="D33" s="90"/>
      <c r="E33" s="90"/>
      <c r="F33" s="89"/>
      <c r="I33" s="87" t="s">
        <v>43</v>
      </c>
      <c r="J33" s="87">
        <v>53858</v>
      </c>
      <c r="K33" s="87" t="s">
        <v>47</v>
      </c>
      <c r="L33" s="87">
        <v>3700</v>
      </c>
    </row>
    <row r="34" spans="2:13" x14ac:dyDescent="0.25">
      <c r="H34" s="89"/>
      <c r="I34" s="87" t="s">
        <v>44</v>
      </c>
      <c r="J34" s="87">
        <f>'Spoření propočty'!F6</f>
        <v>121358.83254012288</v>
      </c>
      <c r="K34" s="87" t="s">
        <v>48</v>
      </c>
      <c r="L34" s="87"/>
    </row>
    <row r="35" spans="2:13" x14ac:dyDescent="0.25">
      <c r="F35" s="90"/>
      <c r="I35" s="87" t="s">
        <v>30</v>
      </c>
      <c r="J35" s="87">
        <f>SUM(J31:J34)</f>
        <v>317244.98638627667</v>
      </c>
      <c r="K35" s="87" t="s">
        <v>45</v>
      </c>
      <c r="L35" s="87">
        <f>SUM(L31:L34)</f>
        <v>317244.98638627667</v>
      </c>
    </row>
    <row r="37" spans="2:13" x14ac:dyDescent="0.25">
      <c r="H37" s="92"/>
      <c r="I37" s="138" t="s">
        <v>53</v>
      </c>
      <c r="J37" s="138"/>
      <c r="K37" s="138"/>
      <c r="L37" s="138"/>
    </row>
    <row r="38" spans="2:13" x14ac:dyDescent="0.25">
      <c r="I38" s="138" t="s">
        <v>39</v>
      </c>
      <c r="J38" s="138"/>
      <c r="K38" s="138" t="s">
        <v>40</v>
      </c>
      <c r="L38" s="138"/>
    </row>
    <row r="39" spans="2:13" x14ac:dyDescent="0.25">
      <c r="I39" s="87" t="s">
        <v>41</v>
      </c>
      <c r="J39" s="87" t="s">
        <v>42</v>
      </c>
      <c r="K39" s="87" t="s">
        <v>41</v>
      </c>
      <c r="L39" s="87" t="s">
        <v>42</v>
      </c>
    </row>
    <row r="40" spans="2:13" x14ac:dyDescent="0.25">
      <c r="G40" s="89"/>
      <c r="H40" s="90"/>
      <c r="I40" s="139" t="s">
        <v>49</v>
      </c>
      <c r="J40" s="139">
        <f>J31+E29</f>
        <v>132445.66666666663</v>
      </c>
      <c r="K40" s="140" t="s">
        <v>100</v>
      </c>
      <c r="L40" s="140">
        <f>J44-L42-L43</f>
        <v>330719.66391768388</v>
      </c>
    </row>
    <row r="41" spans="2:13" x14ac:dyDescent="0.25">
      <c r="I41" s="139"/>
      <c r="J41" s="139"/>
      <c r="K41" s="141"/>
      <c r="L41" s="141"/>
      <c r="M41" s="89"/>
    </row>
    <row r="42" spans="2:13" ht="15" customHeight="1" x14ac:dyDescent="0.25">
      <c r="H42" s="89"/>
      <c r="I42" s="87" t="s">
        <v>43</v>
      </c>
      <c r="J42" s="87">
        <v>55473</v>
      </c>
      <c r="K42" s="87" t="s">
        <v>47</v>
      </c>
      <c r="L42" s="87">
        <v>3700</v>
      </c>
    </row>
    <row r="43" spans="2:13" ht="15" customHeight="1" x14ac:dyDescent="0.25">
      <c r="I43" s="87" t="s">
        <v>44</v>
      </c>
      <c r="J43" s="87">
        <f>'Spoření propočty'!F7</f>
        <v>146500.99725101722</v>
      </c>
      <c r="K43" s="87" t="s">
        <v>48</v>
      </c>
      <c r="L43" s="87"/>
    </row>
    <row r="44" spans="2:13" ht="15" customHeight="1" x14ac:dyDescent="0.25">
      <c r="I44" s="87" t="s">
        <v>30</v>
      </c>
      <c r="J44" s="87">
        <f>SUM(J40:J43)</f>
        <v>334419.66391768388</v>
      </c>
      <c r="K44" s="87" t="s">
        <v>45</v>
      </c>
      <c r="L44" s="87">
        <f>SUM(L40:L43)</f>
        <v>334419.66391768388</v>
      </c>
    </row>
    <row r="46" spans="2:13" x14ac:dyDescent="0.25">
      <c r="I46" s="89"/>
      <c r="J46" s="89"/>
      <c r="L46" s="89"/>
    </row>
    <row r="48" spans="2:13" x14ac:dyDescent="0.25">
      <c r="J48" s="89"/>
    </row>
    <row r="49" spans="7:10" x14ac:dyDescent="0.25">
      <c r="I49" s="89"/>
    </row>
    <row r="51" spans="7:10" x14ac:dyDescent="0.25">
      <c r="G51" s="90"/>
      <c r="J51" s="89"/>
    </row>
  </sheetData>
  <mergeCells count="35">
    <mergeCell ref="I10:L10"/>
    <mergeCell ref="K11:L11"/>
    <mergeCell ref="I13:I14"/>
    <mergeCell ref="J13:J14"/>
    <mergeCell ref="I11:J11"/>
    <mergeCell ref="K13:K14"/>
    <mergeCell ref="L13:L14"/>
    <mergeCell ref="I2:J2"/>
    <mergeCell ref="I1:L1"/>
    <mergeCell ref="K2:L2"/>
    <mergeCell ref="I4:I5"/>
    <mergeCell ref="J4:J5"/>
    <mergeCell ref="L4:L5"/>
    <mergeCell ref="K4:K5"/>
    <mergeCell ref="I19:L19"/>
    <mergeCell ref="I20:J20"/>
    <mergeCell ref="K20:L20"/>
    <mergeCell ref="I22:I23"/>
    <mergeCell ref="J22:J23"/>
    <mergeCell ref="K22:K23"/>
    <mergeCell ref="L22:L23"/>
    <mergeCell ref="I28:L28"/>
    <mergeCell ref="I29:J29"/>
    <mergeCell ref="K29:L29"/>
    <mergeCell ref="I31:I32"/>
    <mergeCell ref="J31:J32"/>
    <mergeCell ref="K31:K32"/>
    <mergeCell ref="L31:L32"/>
    <mergeCell ref="I37:L37"/>
    <mergeCell ref="I38:J38"/>
    <mergeCell ref="K38:L38"/>
    <mergeCell ref="I40:I41"/>
    <mergeCell ref="J40:J41"/>
    <mergeCell ref="K40:K41"/>
    <mergeCell ref="L40:L41"/>
  </mergeCells>
  <conditionalFormatting sqref="L17">
    <cfRule type="cellIs" dxfId="26" priority="15" operator="equal">
      <formula>#REF!</formula>
    </cfRule>
  </conditionalFormatting>
  <conditionalFormatting sqref="J17">
    <cfRule type="cellIs" dxfId="25" priority="14" operator="equal">
      <formula>#REF!</formula>
    </cfRule>
  </conditionalFormatting>
  <conditionalFormatting sqref="L8">
    <cfRule type="cellIs" dxfId="24" priority="12" operator="equal">
      <formula>#REF!</formula>
    </cfRule>
  </conditionalFormatting>
  <conditionalFormatting sqref="J8">
    <cfRule type="cellIs" dxfId="23" priority="7" operator="equal">
      <formula>#REF!</formula>
    </cfRule>
  </conditionalFormatting>
  <conditionalFormatting sqref="L26">
    <cfRule type="cellIs" dxfId="22" priority="6" operator="equal">
      <formula>#REF!</formula>
    </cfRule>
  </conditionalFormatting>
  <conditionalFormatting sqref="J26">
    <cfRule type="cellIs" dxfId="21" priority="5" operator="equal">
      <formula>#REF!</formula>
    </cfRule>
  </conditionalFormatting>
  <conditionalFormatting sqref="L35">
    <cfRule type="cellIs" dxfId="20" priority="4" operator="equal">
      <formula>#REF!</formula>
    </cfRule>
  </conditionalFormatting>
  <conditionalFormatting sqref="J35">
    <cfRule type="cellIs" dxfId="19" priority="3" operator="equal">
      <formula>#REF!</formula>
    </cfRule>
  </conditionalFormatting>
  <conditionalFormatting sqref="L44">
    <cfRule type="cellIs" dxfId="18" priority="2" operator="equal">
      <formula>#REF!</formula>
    </cfRule>
  </conditionalFormatting>
  <conditionalFormatting sqref="J44">
    <cfRule type="cellIs" dxfId="17" priority="1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F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C0AB2-1917-47C6-97D7-CA3B26498E14}">
  <dimension ref="A1:O61"/>
  <sheetViews>
    <sheetView zoomScaleNormal="100" workbookViewId="0">
      <selection sqref="A1:XFD27"/>
    </sheetView>
  </sheetViews>
  <sheetFormatPr defaultColWidth="20.7109375" defaultRowHeight="15" x14ac:dyDescent="0.25"/>
  <cols>
    <col min="1" max="1" width="35.42578125" style="88" bestFit="1" customWidth="1"/>
    <col min="2" max="6" width="9.85546875" style="88" bestFit="1" customWidth="1"/>
    <col min="7" max="7" width="11.5703125" style="88" bestFit="1" customWidth="1"/>
    <col min="8" max="10" width="20.7109375" style="88"/>
    <col min="11" max="11" width="20.85546875" style="88" bestFit="1" customWidth="1"/>
    <col min="12" max="12" width="20.7109375" style="88"/>
    <col min="13" max="13" width="20.85546875" style="88" bestFit="1" customWidth="1"/>
    <col min="14" max="16384" width="20.7109375" style="88"/>
  </cols>
  <sheetData>
    <row r="1" spans="1:14" x14ac:dyDescent="0.25">
      <c r="A1" s="77" t="s">
        <v>34</v>
      </c>
      <c r="B1" s="77">
        <v>2024</v>
      </c>
      <c r="C1" s="77">
        <v>2025</v>
      </c>
      <c r="D1" s="77">
        <v>2026</v>
      </c>
      <c r="E1" s="77">
        <v>2027</v>
      </c>
      <c r="F1" s="77">
        <v>2028</v>
      </c>
      <c r="G1" s="77" t="s">
        <v>30</v>
      </c>
      <c r="J1" s="142" t="s">
        <v>53</v>
      </c>
      <c r="K1" s="144"/>
      <c r="L1" s="144"/>
      <c r="M1" s="143"/>
    </row>
    <row r="2" spans="1:14" x14ac:dyDescent="0.25">
      <c r="A2" s="80" t="s">
        <v>0</v>
      </c>
      <c r="B2" s="81">
        <f>SUM(B3:B5)</f>
        <v>756530</v>
      </c>
      <c r="C2" s="81">
        <f t="shared" ref="C2:F2" si="0">SUM(C3:C5)</f>
        <v>755030</v>
      </c>
      <c r="D2" s="81">
        <f t="shared" si="0"/>
        <v>756330</v>
      </c>
      <c r="E2" s="81">
        <f t="shared" si="0"/>
        <v>756830</v>
      </c>
      <c r="F2" s="81">
        <f t="shared" si="0"/>
        <v>762830</v>
      </c>
      <c r="G2" s="81">
        <f>SUM(B2:F2)</f>
        <v>3787550</v>
      </c>
      <c r="J2" s="142" t="s">
        <v>39</v>
      </c>
      <c r="K2" s="143"/>
      <c r="L2" s="142" t="s">
        <v>40</v>
      </c>
      <c r="M2" s="143"/>
    </row>
    <row r="3" spans="1:14" x14ac:dyDescent="0.25">
      <c r="A3" s="77" t="s">
        <v>1</v>
      </c>
      <c r="B3" s="78">
        <f>33000*12+29085*12</f>
        <v>745020</v>
      </c>
      <c r="C3" s="78">
        <f t="shared" ref="C3:F3" si="1">33000*12+29085*12</f>
        <v>745020</v>
      </c>
      <c r="D3" s="78">
        <f t="shared" si="1"/>
        <v>745020</v>
      </c>
      <c r="E3" s="78">
        <f t="shared" si="1"/>
        <v>745020</v>
      </c>
      <c r="F3" s="78">
        <f t="shared" si="1"/>
        <v>745020</v>
      </c>
      <c r="G3" s="78">
        <f t="shared" ref="G3:G28" si="2">SUM(B3:F3)</f>
        <v>3725100</v>
      </c>
      <c r="H3" s="90"/>
      <c r="J3" s="87" t="s">
        <v>41</v>
      </c>
      <c r="K3" s="87" t="s">
        <v>42</v>
      </c>
      <c r="L3" s="87" t="s">
        <v>41</v>
      </c>
      <c r="M3" s="87" t="s">
        <v>42</v>
      </c>
    </row>
    <row r="4" spans="1:14" x14ac:dyDescent="0.25">
      <c r="A4" s="77" t="s">
        <v>2</v>
      </c>
      <c r="B4" s="78">
        <v>7810</v>
      </c>
      <c r="C4" s="78">
        <v>7810</v>
      </c>
      <c r="D4" s="78">
        <v>7810</v>
      </c>
      <c r="E4" s="78">
        <v>7810</v>
      </c>
      <c r="F4" s="78">
        <v>7810</v>
      </c>
      <c r="G4" s="78">
        <f t="shared" si="2"/>
        <v>39050</v>
      </c>
      <c r="J4" s="140" t="s">
        <v>49</v>
      </c>
      <c r="K4" s="140">
        <v>132446</v>
      </c>
      <c r="L4" s="140" t="s">
        <v>100</v>
      </c>
      <c r="M4" s="140">
        <f>K8-M6-M7</f>
        <v>330720</v>
      </c>
    </row>
    <row r="5" spans="1:14" x14ac:dyDescent="0.25">
      <c r="A5" s="77" t="s">
        <v>4</v>
      </c>
      <c r="B5" s="91">
        <v>3700</v>
      </c>
      <c r="C5" s="91">
        <v>2200</v>
      </c>
      <c r="D5" s="91">
        <v>3500</v>
      </c>
      <c r="E5" s="91">
        <v>4000</v>
      </c>
      <c r="F5" s="91">
        <v>10000</v>
      </c>
      <c r="G5" s="91">
        <f t="shared" si="2"/>
        <v>23400</v>
      </c>
      <c r="H5" s="90"/>
      <c r="J5" s="141"/>
      <c r="K5" s="141"/>
      <c r="L5" s="141"/>
      <c r="M5" s="141"/>
    </row>
    <row r="6" spans="1:14" x14ac:dyDescent="0.25">
      <c r="A6" s="80" t="s">
        <v>5</v>
      </c>
      <c r="B6" s="81">
        <f>SUM(B7:B13)</f>
        <v>-270800</v>
      </c>
      <c r="C6" s="81">
        <f t="shared" ref="C6:F6" si="3">SUM(C7:C13)</f>
        <v>-270800</v>
      </c>
      <c r="D6" s="81">
        <f t="shared" si="3"/>
        <v>-270800</v>
      </c>
      <c r="E6" s="81">
        <f t="shared" si="3"/>
        <v>-270800</v>
      </c>
      <c r="F6" s="81">
        <f t="shared" si="3"/>
        <v>-270800</v>
      </c>
      <c r="G6" s="81">
        <f t="shared" si="2"/>
        <v>-1354000</v>
      </c>
      <c r="H6" s="90"/>
      <c r="J6" s="87" t="s">
        <v>43</v>
      </c>
      <c r="K6" s="87">
        <v>55473</v>
      </c>
      <c r="L6" s="87" t="s">
        <v>47</v>
      </c>
      <c r="M6" s="87">
        <v>3700</v>
      </c>
    </row>
    <row r="7" spans="1:14" ht="15" customHeight="1" x14ac:dyDescent="0.25">
      <c r="A7" s="77" t="s">
        <v>6</v>
      </c>
      <c r="B7" s="78">
        <v>-72000</v>
      </c>
      <c r="C7" s="78">
        <v>-72000</v>
      </c>
      <c r="D7" s="78">
        <v>-72000</v>
      </c>
      <c r="E7" s="78">
        <v>-72000</v>
      </c>
      <c r="F7" s="78">
        <v>-72000</v>
      </c>
      <c r="G7" s="78">
        <f t="shared" si="2"/>
        <v>-360000</v>
      </c>
      <c r="H7" s="90"/>
      <c r="J7" s="87" t="s">
        <v>44</v>
      </c>
      <c r="K7" s="87">
        <v>146501</v>
      </c>
      <c r="L7" s="87" t="s">
        <v>48</v>
      </c>
      <c r="M7" s="87">
        <v>0</v>
      </c>
    </row>
    <row r="8" spans="1:14" ht="15" customHeight="1" x14ac:dyDescent="0.25">
      <c r="A8" s="77" t="s">
        <v>7</v>
      </c>
      <c r="B8" s="78">
        <v>-7300</v>
      </c>
      <c r="C8" s="78">
        <v>-7300</v>
      </c>
      <c r="D8" s="78">
        <v>-7300</v>
      </c>
      <c r="E8" s="78">
        <v>-7300</v>
      </c>
      <c r="F8" s="78">
        <v>-7300</v>
      </c>
      <c r="G8" s="78">
        <f t="shared" si="2"/>
        <v>-36500</v>
      </c>
      <c r="H8" s="90"/>
      <c r="J8" s="87" t="s">
        <v>30</v>
      </c>
      <c r="K8" s="87">
        <f>SUM(K4:K7)</f>
        <v>334420</v>
      </c>
      <c r="L8" s="87" t="s">
        <v>45</v>
      </c>
      <c r="M8" s="87">
        <f>SUM(M4:M7)</f>
        <v>334420</v>
      </c>
    </row>
    <row r="9" spans="1:14" ht="15" customHeight="1" x14ac:dyDescent="0.25">
      <c r="A9" s="77" t="s">
        <v>8</v>
      </c>
      <c r="B9" s="78">
        <v>-6000</v>
      </c>
      <c r="C9" s="78">
        <v>-6000</v>
      </c>
      <c r="D9" s="78">
        <v>-6000</v>
      </c>
      <c r="E9" s="78">
        <v>-6000</v>
      </c>
      <c r="F9" s="78">
        <v>-6000</v>
      </c>
      <c r="G9" s="78">
        <f t="shared" si="2"/>
        <v>-30000</v>
      </c>
    </row>
    <row r="10" spans="1:14" ht="15" customHeight="1" x14ac:dyDescent="0.25">
      <c r="A10" s="77" t="s">
        <v>9</v>
      </c>
      <c r="B10" s="78">
        <v>-120000</v>
      </c>
      <c r="C10" s="78">
        <v>-120000</v>
      </c>
      <c r="D10" s="78">
        <v>-120000</v>
      </c>
      <c r="E10" s="78">
        <v>-120000</v>
      </c>
      <c r="F10" s="78">
        <v>-120000</v>
      </c>
      <c r="G10" s="78">
        <f t="shared" si="2"/>
        <v>-600000</v>
      </c>
    </row>
    <row r="11" spans="1:14" ht="15" customHeight="1" x14ac:dyDescent="0.25">
      <c r="A11" s="77" t="s">
        <v>15</v>
      </c>
      <c r="B11" s="79">
        <v>-28800</v>
      </c>
      <c r="C11" s="79">
        <v>-28800</v>
      </c>
      <c r="D11" s="79">
        <v>-28800</v>
      </c>
      <c r="E11" s="79">
        <v>-28800</v>
      </c>
      <c r="F11" s="79">
        <v>-28800</v>
      </c>
      <c r="G11" s="79">
        <f t="shared" si="2"/>
        <v>-144000</v>
      </c>
      <c r="J11" s="138" t="s">
        <v>87</v>
      </c>
      <c r="K11" s="138"/>
      <c r="L11" s="138"/>
      <c r="M11" s="138"/>
    </row>
    <row r="12" spans="1:14" ht="15" customHeight="1" x14ac:dyDescent="0.25">
      <c r="A12" s="77" t="s">
        <v>16</v>
      </c>
      <c r="B12" s="79">
        <v>-17500</v>
      </c>
      <c r="C12" s="79">
        <v>-17500</v>
      </c>
      <c r="D12" s="79">
        <v>-17500</v>
      </c>
      <c r="E12" s="79">
        <v>-17500</v>
      </c>
      <c r="F12" s="79">
        <v>-17500</v>
      </c>
      <c r="G12" s="79">
        <f t="shared" si="2"/>
        <v>-87500</v>
      </c>
      <c r="J12" s="138" t="s">
        <v>39</v>
      </c>
      <c r="K12" s="138"/>
      <c r="L12" s="138" t="s">
        <v>40</v>
      </c>
      <c r="M12" s="138"/>
      <c r="N12" s="89"/>
    </row>
    <row r="13" spans="1:14" ht="15" customHeight="1" x14ac:dyDescent="0.25">
      <c r="A13" s="77" t="s">
        <v>17</v>
      </c>
      <c r="B13" s="79">
        <v>-19200</v>
      </c>
      <c r="C13" s="79">
        <v>-19200</v>
      </c>
      <c r="D13" s="79">
        <v>-19200</v>
      </c>
      <c r="E13" s="79">
        <v>-19200</v>
      </c>
      <c r="F13" s="79">
        <v>-19200</v>
      </c>
      <c r="G13" s="79">
        <f t="shared" si="2"/>
        <v>-96000</v>
      </c>
      <c r="J13" s="87" t="s">
        <v>41</v>
      </c>
      <c r="K13" s="87" t="s">
        <v>42</v>
      </c>
      <c r="L13" s="87" t="s">
        <v>41</v>
      </c>
      <c r="M13" s="87" t="s">
        <v>42</v>
      </c>
    </row>
    <row r="14" spans="1:14" x14ac:dyDescent="0.25">
      <c r="A14" s="80" t="s">
        <v>31</v>
      </c>
      <c r="B14" s="81">
        <f>B2+B6</f>
        <v>485730</v>
      </c>
      <c r="C14" s="81">
        <f>C2+C6</f>
        <v>484230</v>
      </c>
      <c r="D14" s="81">
        <f>D2+D6</f>
        <v>485530</v>
      </c>
      <c r="E14" s="81">
        <f>E2+E6</f>
        <v>486030</v>
      </c>
      <c r="F14" s="81">
        <f>F2+F6</f>
        <v>492030</v>
      </c>
      <c r="G14" s="81">
        <f t="shared" si="2"/>
        <v>2433550</v>
      </c>
      <c r="J14" s="139" t="s">
        <v>49</v>
      </c>
      <c r="K14" s="140">
        <f>K4+B28</f>
        <v>337041</v>
      </c>
      <c r="L14" s="140" t="s">
        <v>100</v>
      </c>
      <c r="M14" s="140">
        <f>K18-M16-M17</f>
        <v>505282.95471546857</v>
      </c>
      <c r="N14" s="89"/>
    </row>
    <row r="15" spans="1:14" x14ac:dyDescent="0.25">
      <c r="A15" s="80" t="s">
        <v>10</v>
      </c>
      <c r="B15" s="81">
        <f>SUM(B16:B24)</f>
        <v>-315301</v>
      </c>
      <c r="C15" s="81">
        <f>SUM(C16:C24)</f>
        <v>-336801</v>
      </c>
      <c r="D15" s="81">
        <f>SUM(D16:D24)</f>
        <v>-361801</v>
      </c>
      <c r="E15" s="81">
        <f>SUM(E16:E24)</f>
        <v>-361801</v>
      </c>
      <c r="F15" s="81">
        <f>SUM(F16:F24)</f>
        <v>-361801</v>
      </c>
      <c r="G15" s="81">
        <f t="shared" si="2"/>
        <v>-1737505</v>
      </c>
      <c r="H15" s="90"/>
      <c r="J15" s="139"/>
      <c r="K15" s="141"/>
      <c r="L15" s="141"/>
      <c r="M15" s="141"/>
    </row>
    <row r="16" spans="1:14" x14ac:dyDescent="0.25">
      <c r="A16" s="77" t="s">
        <v>11</v>
      </c>
      <c r="B16" s="79">
        <v>-18360</v>
      </c>
      <c r="C16" s="79">
        <v>-18360</v>
      </c>
      <c r="D16" s="79">
        <v>-18360</v>
      </c>
      <c r="E16" s="79">
        <v>-18360</v>
      </c>
      <c r="F16" s="79">
        <v>-18360</v>
      </c>
      <c r="G16" s="79">
        <f t="shared" si="2"/>
        <v>-91800</v>
      </c>
      <c r="H16" s="90"/>
      <c r="J16" s="87" t="s">
        <v>43</v>
      </c>
      <c r="K16" s="87">
        <v>0</v>
      </c>
      <c r="L16" s="87" t="s">
        <v>47</v>
      </c>
      <c r="M16" s="87">
        <v>3700</v>
      </c>
    </row>
    <row r="17" spans="1:15" x14ac:dyDescent="0.25">
      <c r="A17" s="77" t="s">
        <v>12</v>
      </c>
      <c r="B17" s="79">
        <v>-6000</v>
      </c>
      <c r="C17" s="79">
        <v>-6000</v>
      </c>
      <c r="D17" s="79">
        <v>-6000</v>
      </c>
      <c r="E17" s="79">
        <v>-6000</v>
      </c>
      <c r="F17" s="79">
        <v>-6000</v>
      </c>
      <c r="G17" s="79">
        <f t="shared" si="2"/>
        <v>-30000</v>
      </c>
      <c r="J17" s="87" t="s">
        <v>44</v>
      </c>
      <c r="K17" s="87">
        <f>'Spoření propočty'!F8</f>
        <v>171941.9547154686</v>
      </c>
      <c r="L17" s="87" t="s">
        <v>48</v>
      </c>
      <c r="M17" s="87">
        <v>0</v>
      </c>
    </row>
    <row r="18" spans="1:15" x14ac:dyDescent="0.25">
      <c r="A18" s="77" t="s">
        <v>13</v>
      </c>
      <c r="B18" s="79">
        <v>-25341</v>
      </c>
      <c r="C18" s="79">
        <v>-25341</v>
      </c>
      <c r="D18" s="79">
        <v>-25341</v>
      </c>
      <c r="E18" s="79">
        <v>-25341</v>
      </c>
      <c r="F18" s="79">
        <v>-25341</v>
      </c>
      <c r="G18" s="79">
        <f t="shared" si="2"/>
        <v>-126705</v>
      </c>
      <c r="J18" s="87" t="s">
        <v>30</v>
      </c>
      <c r="K18" s="87">
        <f>SUM(K14:K17)</f>
        <v>508982.95471546857</v>
      </c>
      <c r="L18" s="87" t="s">
        <v>45</v>
      </c>
      <c r="M18" s="87">
        <f>SUM(M14:M17)</f>
        <v>508982.95471546857</v>
      </c>
    </row>
    <row r="19" spans="1:15" x14ac:dyDescent="0.25">
      <c r="A19" s="77" t="s">
        <v>14</v>
      </c>
      <c r="B19" s="79">
        <v>-18000</v>
      </c>
      <c r="C19" s="79">
        <v>-18000</v>
      </c>
      <c r="D19" s="79">
        <v>-18000</v>
      </c>
      <c r="E19" s="79">
        <v>-18000</v>
      </c>
      <c r="F19" s="79">
        <v>-18000</v>
      </c>
      <c r="G19" s="79">
        <f t="shared" si="2"/>
        <v>-90000</v>
      </c>
    </row>
    <row r="20" spans="1:15" x14ac:dyDescent="0.25">
      <c r="A20" s="77" t="s">
        <v>18</v>
      </c>
      <c r="B20" s="79">
        <v>-12000</v>
      </c>
      <c r="C20" s="79">
        <v>-12000</v>
      </c>
      <c r="D20" s="79">
        <v>-12000</v>
      </c>
      <c r="E20" s="79">
        <v>-12000</v>
      </c>
      <c r="F20" s="79">
        <v>-12000</v>
      </c>
      <c r="G20" s="79">
        <f t="shared" si="2"/>
        <v>-60000</v>
      </c>
      <c r="J20" s="138" t="s">
        <v>92</v>
      </c>
      <c r="K20" s="138"/>
      <c r="L20" s="138"/>
      <c r="M20" s="138"/>
    </row>
    <row r="21" spans="1:15" x14ac:dyDescent="0.25">
      <c r="A21" s="77" t="s">
        <v>19</v>
      </c>
      <c r="B21" s="79">
        <v>-30000</v>
      </c>
      <c r="C21" s="79">
        <v>-30000</v>
      </c>
      <c r="D21" s="79">
        <v>-30000</v>
      </c>
      <c r="E21" s="79">
        <v>-30000</v>
      </c>
      <c r="F21" s="79">
        <v>-30000</v>
      </c>
      <c r="G21" s="79">
        <f t="shared" si="2"/>
        <v>-150000</v>
      </c>
      <c r="J21" s="138" t="s">
        <v>39</v>
      </c>
      <c r="K21" s="138"/>
      <c r="L21" s="138" t="s">
        <v>40</v>
      </c>
      <c r="M21" s="138"/>
    </row>
    <row r="22" spans="1:15" x14ac:dyDescent="0.25">
      <c r="A22" s="77" t="s">
        <v>20</v>
      </c>
      <c r="B22" s="79">
        <v>-33600</v>
      </c>
      <c r="C22" s="79">
        <v>-33600</v>
      </c>
      <c r="D22" s="79">
        <v>-33600</v>
      </c>
      <c r="E22" s="79">
        <v>-33600</v>
      </c>
      <c r="F22" s="79">
        <v>-33600</v>
      </c>
      <c r="G22" s="79">
        <f t="shared" si="2"/>
        <v>-168000</v>
      </c>
      <c r="J22" s="87" t="s">
        <v>41</v>
      </c>
      <c r="K22" s="87" t="s">
        <v>42</v>
      </c>
      <c r="L22" s="87" t="s">
        <v>41</v>
      </c>
      <c r="M22" s="87" t="s">
        <v>42</v>
      </c>
    </row>
    <row r="23" spans="1:15" x14ac:dyDescent="0.25">
      <c r="A23" s="77" t="s">
        <v>29</v>
      </c>
      <c r="B23" s="79">
        <v>-24000</v>
      </c>
      <c r="C23" s="79">
        <v>-24000</v>
      </c>
      <c r="D23" s="79">
        <v>-24000</v>
      </c>
      <c r="E23" s="79">
        <v>-24000</v>
      </c>
      <c r="F23" s="79">
        <v>-24000</v>
      </c>
      <c r="G23" s="79">
        <f t="shared" si="2"/>
        <v>-120000</v>
      </c>
      <c r="J23" s="139" t="s">
        <v>49</v>
      </c>
      <c r="K23" s="140">
        <f>K14+C28</f>
        <v>189193</v>
      </c>
      <c r="L23" s="140" t="s">
        <v>100</v>
      </c>
      <c r="M23" s="140">
        <f>K28-M25-M26</f>
        <v>658379</v>
      </c>
      <c r="N23" s="89"/>
      <c r="O23" s="89"/>
    </row>
    <row r="24" spans="1:15" x14ac:dyDescent="0.25">
      <c r="A24" s="77" t="s">
        <v>21</v>
      </c>
      <c r="B24" s="79">
        <f>-148000</f>
        <v>-148000</v>
      </c>
      <c r="C24" s="79">
        <v>-169500</v>
      </c>
      <c r="D24" s="79">
        <f>-48000-146500</f>
        <v>-194500</v>
      </c>
      <c r="E24" s="79">
        <f>-48000-146500</f>
        <v>-194500</v>
      </c>
      <c r="F24" s="79">
        <f>-48000-146500</f>
        <v>-194500</v>
      </c>
      <c r="G24" s="79">
        <f t="shared" si="2"/>
        <v>-901000</v>
      </c>
      <c r="J24" s="139"/>
      <c r="K24" s="141"/>
      <c r="L24" s="141"/>
      <c r="M24" s="141"/>
      <c r="O24" s="90"/>
    </row>
    <row r="25" spans="1:15" x14ac:dyDescent="0.25">
      <c r="A25" s="80" t="s">
        <v>22</v>
      </c>
      <c r="B25" s="82">
        <f>B14+B15</f>
        <v>170429</v>
      </c>
      <c r="C25" s="82">
        <f>C14+C15</f>
        <v>147429</v>
      </c>
      <c r="D25" s="82">
        <f>D14+D15</f>
        <v>123729</v>
      </c>
      <c r="E25" s="82">
        <f>E14+E15</f>
        <v>124229</v>
      </c>
      <c r="F25" s="82">
        <f>F14+F15</f>
        <v>130229</v>
      </c>
      <c r="G25" s="82">
        <f t="shared" si="2"/>
        <v>696045</v>
      </c>
      <c r="J25" s="87" t="s">
        <v>43</v>
      </c>
      <c r="K25" s="87">
        <v>20100</v>
      </c>
      <c r="L25" s="87" t="s">
        <v>47</v>
      </c>
      <c r="M25" s="87">
        <v>3700</v>
      </c>
      <c r="O25" s="89"/>
    </row>
    <row r="26" spans="1:15" x14ac:dyDescent="0.25">
      <c r="A26" s="77" t="s">
        <v>25</v>
      </c>
      <c r="B26" s="79">
        <f>-21577+55743</f>
        <v>34166</v>
      </c>
      <c r="C26" s="79">
        <f>-21577-250000-20000</f>
        <v>-291577</v>
      </c>
      <c r="D26" s="79">
        <f>-21577</f>
        <v>-21577</v>
      </c>
      <c r="E26" s="79">
        <f>-21577</f>
        <v>-21577</v>
      </c>
      <c r="F26" s="79">
        <f>250096+265214+20606</f>
        <v>535916</v>
      </c>
      <c r="G26" s="79">
        <f t="shared" si="2"/>
        <v>235351</v>
      </c>
      <c r="J26" s="87" t="s">
        <v>94</v>
      </c>
      <c r="K26" s="87">
        <v>255100</v>
      </c>
      <c r="L26" s="147" t="s">
        <v>48</v>
      </c>
      <c r="M26" s="145"/>
    </row>
    <row r="27" spans="1:15" x14ac:dyDescent="0.25">
      <c r="A27" s="77" t="s">
        <v>95</v>
      </c>
      <c r="B27" s="79">
        <v>-3000</v>
      </c>
      <c r="C27" s="79">
        <v>-3700</v>
      </c>
      <c r="D27" s="79">
        <v>-3700</v>
      </c>
      <c r="E27" s="79">
        <v>-3700</v>
      </c>
      <c r="F27" s="79">
        <v>-3700</v>
      </c>
      <c r="G27" s="79">
        <f t="shared" si="2"/>
        <v>-17800</v>
      </c>
      <c r="J27" s="87" t="s">
        <v>44</v>
      </c>
      <c r="K27" s="87">
        <v>197686</v>
      </c>
      <c r="L27" s="148"/>
      <c r="M27" s="146"/>
      <c r="O27" s="92"/>
    </row>
    <row r="28" spans="1:15" x14ac:dyDescent="0.25">
      <c r="A28" s="80" t="s">
        <v>23</v>
      </c>
      <c r="B28" s="82">
        <f>B25+B26</f>
        <v>204595</v>
      </c>
      <c r="C28" s="82">
        <f>C25+C26+C27</f>
        <v>-147848</v>
      </c>
      <c r="D28" s="82">
        <f t="shared" ref="D28:F28" si="4">D25+D26+D27</f>
        <v>98452</v>
      </c>
      <c r="E28" s="82">
        <f t="shared" si="4"/>
        <v>98952</v>
      </c>
      <c r="F28" s="82">
        <f t="shared" si="4"/>
        <v>662445</v>
      </c>
      <c r="G28" s="82">
        <f t="shared" si="2"/>
        <v>916596</v>
      </c>
      <c r="J28" s="87" t="s">
        <v>30</v>
      </c>
      <c r="K28" s="87">
        <f>SUM(K23:K27)</f>
        <v>662079</v>
      </c>
      <c r="L28" s="87" t="s">
        <v>45</v>
      </c>
      <c r="M28" s="87">
        <f>SUM(M23:M27)</f>
        <v>662079</v>
      </c>
      <c r="O28" s="93"/>
    </row>
    <row r="29" spans="1:15" x14ac:dyDescent="0.25">
      <c r="B29" s="90"/>
      <c r="C29" s="90"/>
      <c r="D29" s="90"/>
      <c r="E29" s="90"/>
      <c r="F29" s="90"/>
      <c r="H29" s="90"/>
    </row>
    <row r="30" spans="1:15" x14ac:dyDescent="0.25">
      <c r="A30" s="94"/>
      <c r="B30" s="94"/>
      <c r="C30" s="94"/>
      <c r="D30" s="94"/>
      <c r="E30" s="94"/>
      <c r="F30" s="94"/>
      <c r="G30" s="94"/>
      <c r="I30" s="89"/>
      <c r="J30" s="138" t="s">
        <v>91</v>
      </c>
      <c r="K30" s="138"/>
      <c r="L30" s="138"/>
      <c r="M30" s="138"/>
    </row>
    <row r="31" spans="1:15" x14ac:dyDescent="0.25">
      <c r="A31" s="94"/>
      <c r="B31" s="94"/>
      <c r="C31" s="94"/>
      <c r="D31" s="94"/>
      <c r="E31" s="94"/>
      <c r="F31" s="94"/>
      <c r="G31" s="94"/>
      <c r="J31" s="138" t="s">
        <v>39</v>
      </c>
      <c r="K31" s="138"/>
      <c r="L31" s="138" t="s">
        <v>40</v>
      </c>
      <c r="M31" s="138"/>
    </row>
    <row r="32" spans="1:15" x14ac:dyDescent="0.25">
      <c r="A32" s="94"/>
      <c r="B32" s="94"/>
      <c r="C32" s="94"/>
      <c r="D32" s="94"/>
      <c r="E32" s="94"/>
      <c r="F32" s="94"/>
      <c r="G32" s="94"/>
      <c r="J32" s="87" t="s">
        <v>41</v>
      </c>
      <c r="K32" s="87" t="s">
        <v>42</v>
      </c>
      <c r="L32" s="87" t="s">
        <v>41</v>
      </c>
      <c r="M32" s="87" t="s">
        <v>42</v>
      </c>
    </row>
    <row r="33" spans="1:14" x14ac:dyDescent="0.25">
      <c r="A33" s="94"/>
      <c r="B33" s="94"/>
      <c r="C33" s="94"/>
      <c r="D33" s="94"/>
      <c r="E33" s="94"/>
      <c r="F33" s="94"/>
      <c r="G33" s="94"/>
      <c r="J33" s="139" t="s">
        <v>49</v>
      </c>
      <c r="K33" s="140">
        <f>K23+D28</f>
        <v>287645</v>
      </c>
      <c r="L33" s="140" t="s">
        <v>100</v>
      </c>
      <c r="M33" s="140">
        <f>K38-M35-M36</f>
        <v>788285.52398452605</v>
      </c>
      <c r="N33" s="89"/>
    </row>
    <row r="34" spans="1:14" x14ac:dyDescent="0.25">
      <c r="J34" s="139"/>
      <c r="K34" s="141"/>
      <c r="L34" s="141"/>
      <c r="M34" s="141"/>
    </row>
    <row r="35" spans="1:14" x14ac:dyDescent="0.25">
      <c r="J35" s="87" t="s">
        <v>43</v>
      </c>
      <c r="K35" s="87">
        <v>20301</v>
      </c>
      <c r="L35" s="87" t="s">
        <v>47</v>
      </c>
      <c r="M35" s="87">
        <v>3700</v>
      </c>
    </row>
    <row r="36" spans="1:14" x14ac:dyDescent="0.25">
      <c r="I36" s="89"/>
      <c r="J36" s="87" t="s">
        <v>94</v>
      </c>
      <c r="K36" s="87">
        <v>260304</v>
      </c>
      <c r="L36" s="147" t="s">
        <v>48</v>
      </c>
      <c r="M36" s="145"/>
    </row>
    <row r="37" spans="1:14" x14ac:dyDescent="0.25">
      <c r="I37" s="89"/>
      <c r="J37" s="87" t="s">
        <v>44</v>
      </c>
      <c r="K37" s="87">
        <f>'Spoření propočty'!F10</f>
        <v>223735.52398452602</v>
      </c>
      <c r="L37" s="148"/>
      <c r="M37" s="146"/>
    </row>
    <row r="38" spans="1:14" x14ac:dyDescent="0.25">
      <c r="I38" s="89"/>
      <c r="J38" s="87" t="s">
        <v>30</v>
      </c>
      <c r="K38" s="87">
        <f>SUM(K33:K37)</f>
        <v>791985.52398452605</v>
      </c>
      <c r="L38" s="87" t="s">
        <v>45</v>
      </c>
      <c r="M38" s="87">
        <f>SUM(M33:M37)</f>
        <v>791985.52398452605</v>
      </c>
    </row>
    <row r="40" spans="1:14" x14ac:dyDescent="0.25">
      <c r="J40" s="138" t="s">
        <v>93</v>
      </c>
      <c r="K40" s="138"/>
      <c r="L40" s="138"/>
      <c r="M40" s="138"/>
    </row>
    <row r="41" spans="1:14" x14ac:dyDescent="0.25">
      <c r="J41" s="138" t="s">
        <v>39</v>
      </c>
      <c r="K41" s="138"/>
      <c r="L41" s="138" t="s">
        <v>40</v>
      </c>
      <c r="M41" s="138"/>
    </row>
    <row r="42" spans="1:14" x14ac:dyDescent="0.25">
      <c r="J42" s="87" t="s">
        <v>41</v>
      </c>
      <c r="K42" s="87" t="s">
        <v>42</v>
      </c>
      <c r="L42" s="87" t="s">
        <v>41</v>
      </c>
      <c r="M42" s="87" t="s">
        <v>42</v>
      </c>
    </row>
    <row r="43" spans="1:14" x14ac:dyDescent="0.25">
      <c r="J43" s="139" t="s">
        <v>49</v>
      </c>
      <c r="K43" s="140">
        <f>K33+E28</f>
        <v>386597</v>
      </c>
      <c r="L43" s="140" t="s">
        <v>100</v>
      </c>
      <c r="M43" s="140">
        <f>K48-M45-M46</f>
        <v>919212.89644191659</v>
      </c>
      <c r="N43" s="89"/>
    </row>
    <row r="44" spans="1:14" x14ac:dyDescent="0.25">
      <c r="J44" s="139"/>
      <c r="K44" s="141"/>
      <c r="L44" s="141"/>
      <c r="M44" s="141"/>
    </row>
    <row r="45" spans="1:14" x14ac:dyDescent="0.25">
      <c r="J45" s="87" t="s">
        <v>43</v>
      </c>
      <c r="K45" s="87">
        <v>20606</v>
      </c>
      <c r="L45" s="87" t="s">
        <v>47</v>
      </c>
      <c r="M45" s="87">
        <v>3700</v>
      </c>
    </row>
    <row r="46" spans="1:14" x14ac:dyDescent="0.25">
      <c r="I46" s="89"/>
      <c r="J46" s="87" t="s">
        <v>94</v>
      </c>
      <c r="K46" s="87">
        <v>265614</v>
      </c>
      <c r="L46" s="147" t="s">
        <v>48</v>
      </c>
      <c r="M46" s="145"/>
    </row>
    <row r="47" spans="1:14" x14ac:dyDescent="0.25">
      <c r="I47" s="89"/>
      <c r="J47" s="87" t="s">
        <v>44</v>
      </c>
      <c r="K47" s="87">
        <f>'Spoření propočty'!F11</f>
        <v>250095.89644191662</v>
      </c>
      <c r="L47" s="148"/>
      <c r="M47" s="146"/>
    </row>
    <row r="48" spans="1:14" x14ac:dyDescent="0.25">
      <c r="J48" s="87" t="s">
        <v>30</v>
      </c>
      <c r="K48" s="87">
        <f>SUM(K43:K47)</f>
        <v>922912.89644191659</v>
      </c>
      <c r="L48" s="87" t="s">
        <v>45</v>
      </c>
      <c r="M48" s="87">
        <f>SUM(M43:M47)</f>
        <v>922912.89644191659</v>
      </c>
    </row>
    <row r="50" spans="8:13" x14ac:dyDescent="0.25">
      <c r="J50" s="138" t="s">
        <v>62</v>
      </c>
      <c r="K50" s="138"/>
      <c r="L50" s="138"/>
      <c r="M50" s="138"/>
    </row>
    <row r="51" spans="8:13" x14ac:dyDescent="0.25">
      <c r="J51" s="138" t="s">
        <v>39</v>
      </c>
      <c r="K51" s="138"/>
      <c r="L51" s="138" t="s">
        <v>40</v>
      </c>
      <c r="M51" s="138"/>
    </row>
    <row r="52" spans="8:13" x14ac:dyDescent="0.25">
      <c r="I52" s="89"/>
      <c r="J52" s="87" t="s">
        <v>41</v>
      </c>
      <c r="K52" s="87" t="s">
        <v>42</v>
      </c>
      <c r="L52" s="87" t="s">
        <v>41</v>
      </c>
      <c r="M52" s="87" t="s">
        <v>42</v>
      </c>
    </row>
    <row r="53" spans="8:13" x14ac:dyDescent="0.25">
      <c r="J53" s="139" t="s">
        <v>49</v>
      </c>
      <c r="K53" s="140">
        <f>K43+F28</f>
        <v>1049042</v>
      </c>
      <c r="L53" s="140" t="s">
        <v>100</v>
      </c>
      <c r="M53" s="140">
        <f>K58-M55-M56</f>
        <v>1045342</v>
      </c>
    </row>
    <row r="54" spans="8:13" x14ac:dyDescent="0.25">
      <c r="J54" s="139"/>
      <c r="K54" s="141"/>
      <c r="L54" s="141"/>
      <c r="M54" s="141"/>
    </row>
    <row r="55" spans="8:13" x14ac:dyDescent="0.25">
      <c r="H55" s="89"/>
      <c r="J55" s="87" t="s">
        <v>43</v>
      </c>
      <c r="K55" s="87">
        <v>0</v>
      </c>
      <c r="L55" s="87" t="s">
        <v>47</v>
      </c>
      <c r="M55" s="87">
        <v>3700</v>
      </c>
    </row>
    <row r="56" spans="8:13" x14ac:dyDescent="0.25">
      <c r="H56" s="89"/>
      <c r="J56" s="87" t="s">
        <v>94</v>
      </c>
      <c r="K56" s="87">
        <v>0</v>
      </c>
      <c r="L56" s="147" t="s">
        <v>48</v>
      </c>
      <c r="M56" s="145"/>
    </row>
    <row r="57" spans="8:13" x14ac:dyDescent="0.25">
      <c r="J57" s="87" t="s">
        <v>44</v>
      </c>
      <c r="K57" s="87">
        <v>0</v>
      </c>
      <c r="L57" s="148"/>
      <c r="M57" s="146"/>
    </row>
    <row r="58" spans="8:13" x14ac:dyDescent="0.25">
      <c r="J58" s="87" t="s">
        <v>30</v>
      </c>
      <c r="K58" s="87">
        <f>SUM(K53:K57)</f>
        <v>1049042</v>
      </c>
      <c r="L58" s="87" t="s">
        <v>45</v>
      </c>
      <c r="M58" s="87">
        <f>SUM(M53:M57)</f>
        <v>1049042</v>
      </c>
    </row>
    <row r="61" spans="8:13" x14ac:dyDescent="0.25">
      <c r="J61" s="89"/>
      <c r="K61" s="89"/>
    </row>
  </sheetData>
  <mergeCells count="50">
    <mergeCell ref="M36:M37"/>
    <mergeCell ref="M46:M47"/>
    <mergeCell ref="L56:L57"/>
    <mergeCell ref="L43:L44"/>
    <mergeCell ref="M43:M44"/>
    <mergeCell ref="L53:L54"/>
    <mergeCell ref="M53:M54"/>
    <mergeCell ref="J12:K12"/>
    <mergeCell ref="M56:M57"/>
    <mergeCell ref="L26:L27"/>
    <mergeCell ref="L36:L37"/>
    <mergeCell ref="J40:M40"/>
    <mergeCell ref="J41:K41"/>
    <mergeCell ref="L41:M41"/>
    <mergeCell ref="J43:J44"/>
    <mergeCell ref="K43:K44"/>
    <mergeCell ref="L46:L47"/>
    <mergeCell ref="J50:M50"/>
    <mergeCell ref="J51:K51"/>
    <mergeCell ref="L51:M51"/>
    <mergeCell ref="J53:J54"/>
    <mergeCell ref="L33:L34"/>
    <mergeCell ref="K53:K54"/>
    <mergeCell ref="J30:M30"/>
    <mergeCell ref="J31:K31"/>
    <mergeCell ref="L31:M31"/>
    <mergeCell ref="J33:J34"/>
    <mergeCell ref="K33:K34"/>
    <mergeCell ref="M33:M34"/>
    <mergeCell ref="J1:M1"/>
    <mergeCell ref="J2:K2"/>
    <mergeCell ref="L2:M2"/>
    <mergeCell ref="J4:J5"/>
    <mergeCell ref="K4:K5"/>
    <mergeCell ref="M26:M27"/>
    <mergeCell ref="L4:L5"/>
    <mergeCell ref="M4:M5"/>
    <mergeCell ref="L14:L15"/>
    <mergeCell ref="M14:M15"/>
    <mergeCell ref="L23:L24"/>
    <mergeCell ref="M23:M24"/>
    <mergeCell ref="J20:M20"/>
    <mergeCell ref="J21:K21"/>
    <mergeCell ref="L21:M21"/>
    <mergeCell ref="J23:J24"/>
    <mergeCell ref="K23:K24"/>
    <mergeCell ref="J11:M11"/>
    <mergeCell ref="L12:M12"/>
    <mergeCell ref="J14:J15"/>
    <mergeCell ref="K14:K15"/>
  </mergeCells>
  <conditionalFormatting sqref="K18">
    <cfRule type="cellIs" dxfId="16" priority="25" operator="equal">
      <formula>#REF!</formula>
    </cfRule>
  </conditionalFormatting>
  <conditionalFormatting sqref="M18">
    <cfRule type="cellIs" dxfId="15" priority="26" operator="equal">
      <formula>#REF!</formula>
    </cfRule>
  </conditionalFormatting>
  <conditionalFormatting sqref="M8">
    <cfRule type="cellIs" dxfId="14" priority="22" operator="equal">
      <formula>#REF!</formula>
    </cfRule>
  </conditionalFormatting>
  <conditionalFormatting sqref="K8">
    <cfRule type="cellIs" dxfId="13" priority="21" operator="equal">
      <formula>#REF!</formula>
    </cfRule>
  </conditionalFormatting>
  <conditionalFormatting sqref="K28">
    <cfRule type="cellIs" dxfId="12" priority="15" operator="equal">
      <formula>#REF!</formula>
    </cfRule>
  </conditionalFormatting>
  <conditionalFormatting sqref="M28">
    <cfRule type="cellIs" dxfId="11" priority="16" operator="equal">
      <formula>#REF!</formula>
    </cfRule>
  </conditionalFormatting>
  <conditionalFormatting sqref="K38">
    <cfRule type="cellIs" dxfId="10" priority="5" operator="equal">
      <formula>#REF!</formula>
    </cfRule>
  </conditionalFormatting>
  <conditionalFormatting sqref="M38">
    <cfRule type="cellIs" dxfId="9" priority="6" operator="equal">
      <formula>#REF!</formula>
    </cfRule>
  </conditionalFormatting>
  <conditionalFormatting sqref="K48">
    <cfRule type="cellIs" dxfId="8" priority="3" operator="equal">
      <formula>#REF!</formula>
    </cfRule>
  </conditionalFormatting>
  <conditionalFormatting sqref="M48">
    <cfRule type="cellIs" dxfId="7" priority="4" operator="equal">
      <formula>#REF!</formula>
    </cfRule>
  </conditionalFormatting>
  <conditionalFormatting sqref="K58">
    <cfRule type="cellIs" dxfId="6" priority="1" operator="equal">
      <formula>#REF!</formula>
    </cfRule>
  </conditionalFormatting>
  <conditionalFormatting sqref="M58">
    <cfRule type="cellIs" dxfId="5" priority="2" operator="equal">
      <formula>#REF!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Příjmy a výdaje 2018</vt:lpstr>
      <vt:lpstr>Příjmy a výdaje 2019</vt:lpstr>
      <vt:lpstr>I</vt:lpstr>
      <vt:lpstr>II</vt:lpstr>
      <vt:lpstr>III</vt:lpstr>
      <vt:lpstr>IV</vt:lpstr>
      <vt:lpstr>Celkem</vt:lpstr>
      <vt:lpstr>2020-2023</vt:lpstr>
      <vt:lpstr>2024-2028</vt:lpstr>
      <vt:lpstr>2029</vt:lpstr>
      <vt:lpstr>Spoření propočty</vt:lpstr>
      <vt:lpstr>Srovnání scénářů</vt:lpstr>
      <vt:lpstr>Příspěvky</vt:lpstr>
      <vt:lpstr>Scénář 36 měsíců</vt:lpstr>
      <vt:lpstr>Scénář 24 měsíců </vt:lpstr>
      <vt:lpstr>Finanční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Wimmer</dc:creator>
  <cp:lastModifiedBy>Filip Wimmer</cp:lastModifiedBy>
  <dcterms:created xsi:type="dcterms:W3CDTF">2015-06-05T18:19:34Z</dcterms:created>
  <dcterms:modified xsi:type="dcterms:W3CDTF">2020-05-16T14:24:34Z</dcterms:modified>
</cp:coreProperties>
</file>